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0" yWindow="0" windowWidth="38400" windowHeight="19280" tabRatio="549"/>
  </bookViews>
  <sheets>
    <sheet name="Balance Sheet" sheetId="3" r:id="rId1"/>
    <sheet name="SOA Fiscal 2018-19" sheetId="1" r:id="rId2"/>
  </sheets>
  <definedNames>
    <definedName name="_xlnm.Print_Area" localSheetId="0">'Balance Sheet'!$A$1:$D$38</definedName>
    <definedName name="_xlnm.Print_Area" localSheetId="1">'SOA Fiscal 2018-19'!$B$1:$O$73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2" i="1" l="1"/>
  <c r="F48" i="1"/>
  <c r="F50" i="1"/>
  <c r="F58" i="1"/>
  <c r="F62" i="1"/>
  <c r="F69" i="1"/>
  <c r="F70" i="1"/>
  <c r="D52" i="1"/>
  <c r="D58" i="1"/>
  <c r="D62" i="1"/>
  <c r="D13" i="1"/>
  <c r="D18" i="1"/>
  <c r="I20" i="1"/>
  <c r="I28" i="1"/>
  <c r="I35" i="1"/>
  <c r="I38" i="1"/>
  <c r="I39" i="1"/>
  <c r="I40" i="1"/>
  <c r="I48" i="1"/>
  <c r="I49" i="1"/>
  <c r="I50" i="1"/>
  <c r="I54" i="1"/>
  <c r="I58" i="1"/>
  <c r="I62" i="1"/>
  <c r="I69" i="1"/>
  <c r="I70" i="1"/>
  <c r="H68" i="1"/>
  <c r="H13" i="1"/>
  <c r="H17" i="1"/>
  <c r="H18" i="1"/>
  <c r="H20" i="1"/>
  <c r="H26" i="1"/>
  <c r="H28" i="1"/>
  <c r="H34" i="1"/>
  <c r="H37" i="1"/>
  <c r="H39" i="1"/>
  <c r="H43" i="1"/>
  <c r="H48" i="1"/>
  <c r="H49" i="1"/>
  <c r="H50" i="1"/>
  <c r="H52" i="1"/>
  <c r="H55" i="1"/>
  <c r="H58" i="1"/>
  <c r="H62" i="1"/>
  <c r="H69" i="1"/>
  <c r="H70" i="1"/>
  <c r="G68" i="1"/>
  <c r="G8" i="1"/>
  <c r="G9" i="1"/>
  <c r="G12" i="1"/>
  <c r="G17" i="1"/>
  <c r="G18" i="1"/>
  <c r="G20" i="1"/>
  <c r="G25" i="1"/>
  <c r="G26" i="1"/>
  <c r="G28" i="1"/>
  <c r="G31" i="1"/>
  <c r="G35" i="1"/>
  <c r="G36" i="1"/>
  <c r="G37" i="1"/>
  <c r="G42" i="1"/>
  <c r="G48" i="1"/>
  <c r="G49" i="1"/>
  <c r="G50" i="1"/>
  <c r="G52" i="1"/>
  <c r="G58" i="1"/>
  <c r="G62" i="1"/>
  <c r="G69" i="1"/>
  <c r="G70" i="1"/>
  <c r="F68" i="1"/>
  <c r="F13" i="1"/>
  <c r="F17" i="1"/>
  <c r="F20" i="1"/>
  <c r="F26" i="1"/>
  <c r="F28" i="1"/>
  <c r="F31" i="1"/>
  <c r="F33" i="1"/>
  <c r="F35" i="1"/>
  <c r="F37" i="1"/>
  <c r="F38" i="1"/>
  <c r="F39" i="1"/>
  <c r="F41" i="1"/>
  <c r="F43" i="1"/>
  <c r="F46" i="1"/>
  <c r="F47" i="1"/>
  <c r="F49" i="1"/>
  <c r="F56" i="1"/>
  <c r="D68" i="1"/>
  <c r="D20" i="1"/>
  <c r="D26" i="1"/>
  <c r="D28" i="1"/>
  <c r="D48" i="1"/>
  <c r="D50" i="1"/>
  <c r="C35" i="3"/>
  <c r="C36" i="3"/>
  <c r="C29" i="3"/>
  <c r="C31" i="3"/>
  <c r="D38" i="3"/>
  <c r="D69" i="1"/>
  <c r="D60" i="1"/>
  <c r="D70" i="1"/>
  <c r="B4" i="1"/>
  <c r="C13" i="3"/>
  <c r="C19" i="3"/>
  <c r="D21" i="3"/>
  <c r="E50" i="1"/>
  <c r="E58" i="1"/>
  <c r="E20" i="1"/>
  <c r="E60" i="1"/>
  <c r="E26" i="1"/>
  <c r="E28" i="1"/>
  <c r="E62" i="1"/>
  <c r="K8" i="1"/>
  <c r="K9" i="1"/>
  <c r="K10" i="1"/>
  <c r="K17" i="1"/>
  <c r="K18" i="1"/>
  <c r="K20" i="1"/>
  <c r="K26" i="1"/>
  <c r="K28" i="1"/>
  <c r="K34" i="1"/>
  <c r="K43" i="1"/>
  <c r="K49" i="1"/>
  <c r="K50" i="1"/>
  <c r="K52" i="1"/>
  <c r="K54" i="1"/>
  <c r="K56" i="1"/>
  <c r="K58" i="1"/>
  <c r="K62" i="1"/>
  <c r="K69" i="1"/>
  <c r="K68" i="1"/>
  <c r="K70" i="1"/>
  <c r="J68" i="1"/>
  <c r="J9" i="1"/>
  <c r="J10" i="1"/>
  <c r="J17" i="1"/>
  <c r="J18" i="1"/>
  <c r="J20" i="1"/>
  <c r="J26" i="1"/>
  <c r="J28" i="1"/>
  <c r="J37" i="1"/>
  <c r="J38" i="1"/>
  <c r="J40" i="1"/>
  <c r="J43" i="1"/>
  <c r="J47" i="1"/>
  <c r="J49" i="1"/>
  <c r="J50" i="1"/>
  <c r="J54" i="1"/>
  <c r="J56" i="1"/>
  <c r="J58" i="1"/>
  <c r="J62" i="1"/>
  <c r="J69" i="1"/>
  <c r="J70" i="1"/>
  <c r="G60" i="1"/>
  <c r="F60" i="1"/>
  <c r="I60" i="1"/>
  <c r="H60" i="1"/>
  <c r="J60" i="1"/>
  <c r="K60" i="1"/>
  <c r="L10" i="1"/>
  <c r="L16" i="1"/>
  <c r="L12" i="1"/>
  <c r="L17" i="1"/>
  <c r="L20" i="1"/>
  <c r="L50" i="1"/>
  <c r="L54" i="1"/>
  <c r="L58" i="1"/>
  <c r="L60" i="1"/>
  <c r="M10" i="1"/>
  <c r="M15" i="1"/>
  <c r="M16" i="1"/>
  <c r="M17" i="1"/>
  <c r="M20" i="1"/>
  <c r="M50" i="1"/>
  <c r="M54" i="1"/>
  <c r="M58" i="1"/>
  <c r="M60" i="1"/>
  <c r="N9" i="1"/>
  <c r="N16" i="1"/>
  <c r="N12" i="1"/>
  <c r="N17" i="1"/>
  <c r="N20" i="1"/>
  <c r="N43" i="1"/>
  <c r="N50" i="1"/>
  <c r="N56" i="1"/>
  <c r="N58" i="1"/>
  <c r="N60" i="1"/>
  <c r="L68" i="1"/>
  <c r="L69" i="1"/>
  <c r="M68" i="1"/>
  <c r="M69" i="1"/>
  <c r="N68" i="1"/>
  <c r="N69" i="1"/>
  <c r="N26" i="1"/>
  <c r="N28" i="1"/>
  <c r="N62" i="1"/>
  <c r="N71" i="1"/>
  <c r="N74" i="1"/>
  <c r="M26" i="1"/>
  <c r="M28" i="1"/>
  <c r="M62" i="1"/>
  <c r="M71" i="1"/>
  <c r="M74" i="1"/>
  <c r="L26" i="1"/>
  <c r="L28" i="1"/>
  <c r="L62" i="1"/>
  <c r="L71" i="1"/>
  <c r="L74" i="1"/>
  <c r="K71" i="1"/>
  <c r="K74" i="1"/>
  <c r="L73" i="1"/>
  <c r="O26" i="1"/>
  <c r="O8" i="1"/>
  <c r="O10" i="1"/>
  <c r="O15" i="1"/>
  <c r="O13" i="1"/>
  <c r="O17" i="1"/>
  <c r="O20" i="1"/>
  <c r="O28" i="1"/>
  <c r="O50" i="1"/>
  <c r="O52" i="1"/>
  <c r="O54" i="1"/>
  <c r="O58" i="1"/>
  <c r="O62" i="1"/>
  <c r="O69" i="1"/>
  <c r="O71" i="1"/>
  <c r="M73" i="1"/>
  <c r="N73" i="1"/>
  <c r="O73" i="1"/>
  <c r="K73" i="1"/>
</calcChain>
</file>

<file path=xl/comments1.xml><?xml version="1.0" encoding="utf-8"?>
<comments xmlns="http://schemas.openxmlformats.org/spreadsheetml/2006/main">
  <authors>
    <author>Beth Armstrong</author>
    <author>Anne Kasputis</author>
  </authors>
  <commentList>
    <comment ref="M32" authorId="0">
      <text>
        <r>
          <rPr>
            <b/>
            <sz val="8"/>
            <color indexed="81"/>
            <rFont val="Tahoma"/>
          </rPr>
          <t>Beth Armstrong:</t>
        </r>
        <r>
          <rPr>
            <sz val="8"/>
            <color indexed="81"/>
            <rFont val="Tahoma"/>
          </rPr>
          <t xml:space="preserve">
If 2010-11 exhibit-corp bonus of $24951 was paid 06-30-2011, the net excess excluding NHTSA contract cash flow would be zero.  Therefore, no additional (20%) bonus is calculated based on the excess.</t>
        </r>
      </text>
    </comment>
    <comment ref="H43" authorId="1">
      <text>
        <r>
          <rPr>
            <b/>
            <sz val="9"/>
            <color indexed="81"/>
            <rFont val="Arial"/>
          </rPr>
          <t>Anne Kasputis:</t>
        </r>
        <r>
          <rPr>
            <sz val="9"/>
            <color indexed="81"/>
            <rFont val="Arial"/>
          </rPr>
          <t xml:space="preserve">
Includes 1,977.50 legal fees Weil
</t>
        </r>
      </text>
    </comment>
    <comment ref="H49" authorId="1">
      <text>
        <r>
          <rPr>
            <b/>
            <sz val="9"/>
            <color indexed="81"/>
            <rFont val="Arial"/>
          </rPr>
          <t>Anne Kasputis:</t>
        </r>
        <r>
          <rPr>
            <sz val="9"/>
            <color indexed="81"/>
            <rFont val="Arial"/>
          </rPr>
          <t xml:space="preserve">
Legal Fees USPTO Registration - B Weil
$ 680 Leslie Spencer
</t>
        </r>
      </text>
    </comment>
  </commentList>
</comments>
</file>

<file path=xl/sharedStrings.xml><?xml version="1.0" encoding="utf-8"?>
<sst xmlns="http://schemas.openxmlformats.org/spreadsheetml/2006/main" count="113" uniqueCount="106">
  <si>
    <t>July 1 - June 30 Fiscal Year</t>
  </si>
  <si>
    <t>Mtg Sponsorships</t>
  </si>
  <si>
    <t>Management Fee</t>
  </si>
  <si>
    <t>Insurance</t>
  </si>
  <si>
    <t>Accounting Fee</t>
  </si>
  <si>
    <t>Office Supplies</t>
  </si>
  <si>
    <t>Telephone/fax</t>
  </si>
  <si>
    <t>Postage</t>
  </si>
  <si>
    <t>Printing/copying</t>
  </si>
  <si>
    <t>Membership Mktg</t>
  </si>
  <si>
    <t>Committee/Liaison Support</t>
  </si>
  <si>
    <t>EXCESS/(DEFICIT)</t>
  </si>
  <si>
    <t>National Association of State EMS Officials</t>
  </si>
  <si>
    <t>Credit Card Process Fees</t>
  </si>
  <si>
    <t>2008-09</t>
  </si>
  <si>
    <t>Miscellaneous/monograph/list prod.</t>
  </si>
  <si>
    <t>2009-10</t>
  </si>
  <si>
    <t>Dues - Corporate Member ($2,000)</t>
  </si>
  <si>
    <t>2010-11</t>
  </si>
  <si>
    <t>2011-12</t>
  </si>
  <si>
    <t>Web Site</t>
  </si>
  <si>
    <t>Staff Travel</t>
  </si>
  <si>
    <t>2012-13</t>
  </si>
  <si>
    <t>Dues - Associate Member ($250)</t>
  </si>
  <si>
    <t>2013-14</t>
  </si>
  <si>
    <t>Labels/Monograph/Other/Royalties</t>
  </si>
  <si>
    <t xml:space="preserve">Statement of Activities </t>
  </si>
  <si>
    <t>Total Income from Operations</t>
  </si>
  <si>
    <t>Unrealized Gain/Loss on Investments</t>
  </si>
  <si>
    <t>Total Other Income</t>
  </si>
  <si>
    <t>Management Incentive</t>
  </si>
  <si>
    <t>Change in Net Assets</t>
  </si>
  <si>
    <t>Net Assets Beginning of Year</t>
  </si>
  <si>
    <t>Net Assets End of Year</t>
  </si>
  <si>
    <t>per 990</t>
  </si>
  <si>
    <t>Unrealized Gain/Loss Rec to Assets &amp; Income</t>
  </si>
  <si>
    <t>ASSETS</t>
  </si>
  <si>
    <t xml:space="preserve">   Current Assets</t>
  </si>
  <si>
    <t xml:space="preserve">      Bank Accounts</t>
  </si>
  <si>
    <t xml:space="preserve">         1050-00 TD Bank - Checking</t>
  </si>
  <si>
    <t xml:space="preserve">      Accounts Receivable</t>
  </si>
  <si>
    <t xml:space="preserve">         1015-00 UBS Money Market</t>
  </si>
  <si>
    <t xml:space="preserve">         1015-01 UBS Investments</t>
  </si>
  <si>
    <t>TOTAL ASSETS</t>
  </si>
  <si>
    <t>LIABILITIES AND EQUITY</t>
  </si>
  <si>
    <t xml:space="preserve">   Liabilities</t>
  </si>
  <si>
    <t xml:space="preserve">         Accounts Payable</t>
  </si>
  <si>
    <t xml:space="preserve">      Total Current Liabilities</t>
  </si>
  <si>
    <t xml:space="preserve">   Equity</t>
  </si>
  <si>
    <t xml:space="preserve">      Retained Earnings</t>
  </si>
  <si>
    <t xml:space="preserve">      Net Income</t>
  </si>
  <si>
    <t>TOTAL LIABILITIES AND EQUITY</t>
  </si>
  <si>
    <t xml:space="preserve">      Total Other Current Assets</t>
  </si>
  <si>
    <t xml:space="preserve">   TOTAL LIABILITIES</t>
  </si>
  <si>
    <t xml:space="preserve">      Total Other Assets</t>
  </si>
  <si>
    <t xml:space="preserve">    Other Assets</t>
  </si>
  <si>
    <t>2014-15</t>
  </si>
  <si>
    <t>Investment Fees</t>
  </si>
  <si>
    <t xml:space="preserve">State Travel Funds </t>
  </si>
  <si>
    <t>ADMIN / OPS EXPENSES</t>
  </si>
  <si>
    <t>INCOME FROM OPERATIONS</t>
  </si>
  <si>
    <t>OTHER INCOME</t>
  </si>
  <si>
    <t>TOTAL EXPENSES</t>
  </si>
  <si>
    <t>Admin/Ops Subtotal</t>
  </si>
  <si>
    <t>TOTAL INCOME</t>
  </si>
  <si>
    <t xml:space="preserve">         1015-02 UBS Total Unrealized Gain/Loss</t>
  </si>
  <si>
    <t>Board Retreat</t>
  </si>
  <si>
    <t>ACTUALS</t>
  </si>
  <si>
    <t>Federal Contracts/Projects Expenses</t>
  </si>
  <si>
    <t>Federal Contracts/Projects Receipts</t>
  </si>
  <si>
    <t xml:space="preserve">NET INCOME FROM OPERATIONS </t>
  </si>
  <si>
    <t>TOTAL EQUITY (Net Assets)</t>
  </si>
  <si>
    <t>2015-16</t>
  </si>
  <si>
    <t>Fall Meeting</t>
  </si>
  <si>
    <t>Spring Meeting</t>
  </si>
  <si>
    <t>Fall Meeting Expense</t>
  </si>
  <si>
    <t>Fall Meeting Member Travel</t>
  </si>
  <si>
    <t>Spring Meeting Expense</t>
  </si>
  <si>
    <t>2016-17</t>
  </si>
  <si>
    <t>Sponsorships - Board</t>
  </si>
  <si>
    <t>*Note: Unrealized Gain/(Loss) reflected on the Statement of Activity is the fiscal year accumulation, not calendar year.</t>
  </si>
  <si>
    <t xml:space="preserve">  Total investment Unrealized Gain/(Loss) is reflected on the Balance Sheet under the heading of Mark to Market.</t>
  </si>
  <si>
    <t xml:space="preserve">ACTUALS </t>
  </si>
  <si>
    <t xml:space="preserve">Interest/Dividend </t>
  </si>
  <si>
    <t>Realized Gain/Loss on Investments</t>
  </si>
  <si>
    <t xml:space="preserve">Unrealized Gain/Loss* </t>
  </si>
  <si>
    <t xml:space="preserve">         Deferred Revenue State Office</t>
  </si>
  <si>
    <t xml:space="preserve">         Deferrred Revenue Coporate Members</t>
  </si>
  <si>
    <t xml:space="preserve">         Deferred Revenue Associate Members</t>
  </si>
  <si>
    <t>2017-18</t>
  </si>
  <si>
    <t xml:space="preserve">CSG NCIC Legal Services </t>
  </si>
  <si>
    <t>2018-19</t>
  </si>
  <si>
    <t xml:space="preserve">      Prepaid Expenses (2018 Spring Mtg)</t>
  </si>
  <si>
    <t>Adopted Budget</t>
  </si>
  <si>
    <t>Dues - State Ofc Package ($3,000)</t>
  </si>
  <si>
    <t>Donation - NoSORH</t>
  </si>
  <si>
    <t>Pre-Audit</t>
  </si>
  <si>
    <t>Council Event Registration</t>
  </si>
  <si>
    <t>Dues/Professional Fees</t>
  </si>
  <si>
    <t>YTD</t>
  </si>
  <si>
    <t>Interim</t>
  </si>
  <si>
    <t xml:space="preserve"> Interim Balance Sheet</t>
  </si>
  <si>
    <t>Actuals</t>
  </si>
  <si>
    <t xml:space="preserve">                                              (Three Months) </t>
  </si>
  <si>
    <t>as of September 30, 2018</t>
  </si>
  <si>
    <t>Exhibits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</si>
</sst>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d\-mmm\-yy;@"/>
    <numFmt numFmtId="167" formatCode="[$-409]dd\-mmm\-yy;@"/>
  </numFmts>
  <fonts count="35" x14ac:knownFonts="1">
    <font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2"/>
      <name val="Arial"/>
    </font>
    <font>
      <b/>
      <u/>
      <sz val="12"/>
      <name val="Arial"/>
      <family val="2"/>
    </font>
    <font>
      <u val="singleAccounting"/>
      <sz val="12"/>
      <name val="Arial"/>
      <family val="2"/>
    </font>
    <font>
      <u/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4"/>
      <name val="Arial"/>
    </font>
    <font>
      <sz val="14"/>
      <name val="Arial"/>
    </font>
    <font>
      <u/>
      <sz val="14"/>
      <name val="Arial"/>
    </font>
    <font>
      <b/>
      <i/>
      <sz val="12"/>
      <name val="Arial"/>
    </font>
    <font>
      <u val="singleAccounting"/>
      <sz val="14"/>
      <name val="Arial"/>
    </font>
    <font>
      <sz val="9"/>
      <color indexed="81"/>
      <name val="Arial"/>
    </font>
    <font>
      <b/>
      <sz val="9"/>
      <color indexed="81"/>
      <name val="Arial"/>
    </font>
    <font>
      <b/>
      <sz val="10"/>
      <color rgb="FF000000"/>
      <name val="Arial"/>
    </font>
    <font>
      <b/>
      <sz val="12"/>
      <color theme="4"/>
      <name val="Arial"/>
    </font>
    <font>
      <b/>
      <sz val="12"/>
      <color rgb="FF660066"/>
      <name val="Arial"/>
    </font>
    <font>
      <u/>
      <sz val="12"/>
      <color theme="4" tint="-0.249977111117893"/>
      <name val="Arial"/>
    </font>
    <font>
      <sz val="12"/>
      <color rgb="FFFF0000"/>
      <name val="Arial"/>
    </font>
    <font>
      <sz val="12"/>
      <color rgb="FF3366FF"/>
      <name val="Arial"/>
    </font>
    <font>
      <b/>
      <sz val="12"/>
      <color rgb="FFFF0000"/>
      <name val="Arial"/>
    </font>
    <font>
      <b/>
      <u/>
      <sz val="12"/>
      <color rgb="FFFF0000"/>
      <name val="Arial"/>
    </font>
    <font>
      <sz val="12"/>
      <color rgb="FF008000"/>
      <name val="Arial"/>
    </font>
    <font>
      <u/>
      <sz val="12"/>
      <color rgb="FFFF0000"/>
      <name val="Arial"/>
    </font>
    <font>
      <b/>
      <sz val="12"/>
      <color rgb="FF00000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</font>
    <font>
      <b/>
      <u val="singleAccounting"/>
      <sz val="12"/>
      <name val="Arial"/>
    </font>
    <font>
      <b/>
      <u val="singleAccounting"/>
      <sz val="12"/>
      <color rgb="FF660066"/>
      <name val="Arial"/>
    </font>
    <font>
      <u val="singleAccounting"/>
      <sz val="12"/>
      <color rgb="FFFF0000"/>
      <name val="Arial"/>
    </font>
    <font>
      <u/>
      <sz val="14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48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39" fontId="4" fillId="0" borderId="0" xfId="0" applyNumberFormat="1" applyFont="1"/>
    <xf numFmtId="37" fontId="10" fillId="0" borderId="0" xfId="0" applyNumberFormat="1" applyFont="1"/>
    <xf numFmtId="44" fontId="11" fillId="0" borderId="0" xfId="0" applyNumberFormat="1" applyFont="1"/>
    <xf numFmtId="0" fontId="17" fillId="0" borderId="0" xfId="0" applyFont="1"/>
    <xf numFmtId="44" fontId="10" fillId="0" borderId="0" xfId="0" applyNumberFormat="1" applyFont="1"/>
    <xf numFmtId="0" fontId="11" fillId="0" borderId="0" xfId="0" applyFont="1" applyAlignment="1">
      <alignment vertical="center"/>
    </xf>
    <xf numFmtId="39" fontId="3" fillId="0" borderId="0" xfId="0" applyNumberFormat="1" applyFont="1" applyBorder="1" applyAlignment="1">
      <alignment horizontal="center"/>
    </xf>
    <xf numFmtId="39" fontId="4" fillId="0" borderId="0" xfId="0" applyNumberFormat="1" applyFont="1" applyBorder="1"/>
    <xf numFmtId="39" fontId="3" fillId="0" borderId="0" xfId="0" applyNumberFormat="1" applyFont="1" applyBorder="1"/>
    <xf numFmtId="39" fontId="13" fillId="0" borderId="0" xfId="0" applyNumberFormat="1" applyFont="1" applyBorder="1" applyAlignment="1">
      <alignment horizontal="left"/>
    </xf>
    <xf numFmtId="39" fontId="5" fillId="0" borderId="0" xfId="0" applyNumberFormat="1" applyFont="1" applyBorder="1" applyAlignment="1">
      <alignment horizontal="center"/>
    </xf>
    <xf numFmtId="39" fontId="18" fillId="0" borderId="0" xfId="0" applyNumberFormat="1" applyFont="1" applyBorder="1" applyAlignment="1">
      <alignment horizontal="left"/>
    </xf>
    <xf numFmtId="39" fontId="3" fillId="0" borderId="0" xfId="0" applyNumberFormat="1" applyFont="1" applyBorder="1" applyAlignment="1">
      <alignment horizontal="right"/>
    </xf>
    <xf numFmtId="39" fontId="19" fillId="0" borderId="0" xfId="0" applyNumberFormat="1" applyFont="1" applyBorder="1"/>
    <xf numFmtId="39" fontId="19" fillId="2" borderId="0" xfId="0" applyNumberFormat="1" applyFont="1" applyFill="1" applyBorder="1"/>
    <xf numFmtId="39" fontId="7" fillId="2" borderId="0" xfId="0" applyNumberFormat="1" applyFont="1" applyFill="1" applyBorder="1"/>
    <xf numFmtId="39" fontId="7" fillId="0" borderId="0" xfId="0" applyNumberFormat="1" applyFont="1" applyBorder="1"/>
    <xf numFmtId="39" fontId="3" fillId="0" borderId="0" xfId="0" applyNumberFormat="1" applyFont="1"/>
    <xf numFmtId="39" fontId="4" fillId="0" borderId="0" xfId="0" applyNumberFormat="1" applyFont="1" applyBorder="1" applyAlignment="1">
      <alignment horizontal="left"/>
    </xf>
    <xf numFmtId="39" fontId="4" fillId="0" borderId="0" xfId="0" applyNumberFormat="1" applyFont="1" applyBorder="1" applyAlignment="1">
      <alignment horizontal="right"/>
    </xf>
    <xf numFmtId="39" fontId="20" fillId="2" borderId="0" xfId="0" applyNumberFormat="1" applyFont="1" applyFill="1" applyBorder="1"/>
    <xf numFmtId="39" fontId="22" fillId="0" borderId="0" xfId="0" applyNumberFormat="1" applyFont="1" applyBorder="1"/>
    <xf numFmtId="39" fontId="6" fillId="0" borderId="0" xfId="0" applyNumberFormat="1" applyFont="1" applyBorder="1"/>
    <xf numFmtId="39" fontId="3" fillId="0" borderId="0" xfId="0" applyNumberFormat="1" applyFont="1" applyFill="1" applyBorder="1"/>
    <xf numFmtId="39" fontId="3" fillId="0" borderId="0" xfId="0" applyNumberFormat="1" applyFont="1" applyBorder="1" applyAlignment="1">
      <alignment horizontal="left"/>
    </xf>
    <xf numFmtId="39" fontId="5" fillId="0" borderId="0" xfId="0" applyNumberFormat="1" applyFont="1" applyBorder="1"/>
    <xf numFmtId="39" fontId="25" fillId="0" borderId="0" xfId="0" applyNumberFormat="1" applyFont="1" applyBorder="1"/>
    <xf numFmtId="164" fontId="11" fillId="0" borderId="0" xfId="0" applyNumberFormat="1" applyFont="1"/>
    <xf numFmtId="164" fontId="11" fillId="0" borderId="0" xfId="2" applyNumberFormat="1" applyFont="1"/>
    <xf numFmtId="164" fontId="10" fillId="0" borderId="0" xfId="2" applyNumberFormat="1" applyFont="1"/>
    <xf numFmtId="164" fontId="12" fillId="0" borderId="0" xfId="2" applyNumberFormat="1" applyFont="1"/>
    <xf numFmtId="164" fontId="10" fillId="0" borderId="2" xfId="2" applyNumberFormat="1" applyFont="1" applyBorder="1"/>
    <xf numFmtId="164" fontId="11" fillId="0" borderId="0" xfId="0" applyNumberFormat="1" applyFont="1" applyAlignment="1">
      <alignment vertical="center"/>
    </xf>
    <xf numFmtId="164" fontId="10" fillId="0" borderId="0" xfId="0" applyNumberFormat="1" applyFont="1"/>
    <xf numFmtId="165" fontId="3" fillId="0" borderId="0" xfId="1" applyNumberFormat="1" applyFont="1" applyFill="1" applyBorder="1" applyAlignment="1">
      <alignment horizontal="center"/>
    </xf>
    <xf numFmtId="165" fontId="4" fillId="0" borderId="0" xfId="1" applyNumberFormat="1" applyFont="1"/>
    <xf numFmtId="165" fontId="4" fillId="0" borderId="0" xfId="1" applyNumberFormat="1" applyFont="1" applyBorder="1"/>
    <xf numFmtId="165" fontId="3" fillId="0" borderId="0" xfId="1" applyNumberFormat="1" applyFont="1" applyFill="1" applyBorder="1" applyAlignment="1">
      <alignment horizontal="right"/>
    </xf>
    <xf numFmtId="165" fontId="3" fillId="2" borderId="0" xfId="1" applyNumberFormat="1" applyFont="1" applyFill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5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 wrapText="1"/>
    </xf>
    <xf numFmtId="165" fontId="5" fillId="2" borderId="0" xfId="1" applyNumberFormat="1" applyFont="1" applyFill="1" applyBorder="1" applyAlignment="1">
      <alignment horizontal="center" wrapText="1"/>
    </xf>
    <xf numFmtId="165" fontId="5" fillId="0" borderId="0" xfId="1" applyNumberFormat="1" applyFont="1" applyBorder="1" applyAlignment="1">
      <alignment horizontal="center"/>
    </xf>
    <xf numFmtId="165" fontId="3" fillId="2" borderId="0" xfId="1" applyNumberFormat="1" applyFont="1" applyFill="1" applyBorder="1"/>
    <xf numFmtId="165" fontId="3" fillId="0" borderId="0" xfId="1" applyNumberFormat="1" applyFont="1" applyBorder="1"/>
    <xf numFmtId="165" fontId="3" fillId="0" borderId="0" xfId="1" applyNumberFormat="1" applyFont="1" applyBorder="1" applyAlignment="1">
      <alignment horizontal="right"/>
    </xf>
    <xf numFmtId="165" fontId="4" fillId="0" borderId="0" xfId="1" applyNumberFormat="1" applyFont="1" applyFill="1" applyBorder="1"/>
    <xf numFmtId="165" fontId="4" fillId="2" borderId="0" xfId="1" applyNumberFormat="1" applyFont="1" applyFill="1" applyBorder="1"/>
    <xf numFmtId="165" fontId="19" fillId="0" borderId="0" xfId="1" applyNumberFormat="1" applyFont="1" applyFill="1" applyBorder="1"/>
    <xf numFmtId="165" fontId="19" fillId="2" borderId="0" xfId="1" applyNumberFormat="1" applyFont="1" applyFill="1" applyBorder="1"/>
    <xf numFmtId="165" fontId="19" fillId="0" borderId="0" xfId="1" applyNumberFormat="1" applyFont="1" applyBorder="1"/>
    <xf numFmtId="165" fontId="7" fillId="0" borderId="0" xfId="1" applyNumberFormat="1" applyFont="1" applyFill="1" applyBorder="1"/>
    <xf numFmtId="165" fontId="7" fillId="2" borderId="0" xfId="1" applyNumberFormat="1" applyFont="1" applyFill="1" applyBorder="1"/>
    <xf numFmtId="165" fontId="7" fillId="0" borderId="0" xfId="1" applyNumberFormat="1" applyFont="1" applyBorder="1"/>
    <xf numFmtId="165" fontId="3" fillId="0" borderId="0" xfId="1" applyNumberFormat="1" applyFont="1" applyFill="1" applyBorder="1"/>
    <xf numFmtId="165" fontId="3" fillId="2" borderId="0" xfId="1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21" fillId="0" borderId="0" xfId="1" applyNumberFormat="1" applyFont="1" applyBorder="1"/>
    <xf numFmtId="165" fontId="26" fillId="2" borderId="0" xfId="1" applyNumberFormat="1" applyFont="1" applyFill="1" applyBorder="1"/>
    <xf numFmtId="165" fontId="23" fillId="0" borderId="0" xfId="1" applyNumberFormat="1" applyFont="1" applyFill="1" applyBorder="1"/>
    <xf numFmtId="165" fontId="24" fillId="0" borderId="0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24" fillId="0" borderId="0" xfId="1" applyNumberFormat="1" applyFont="1" applyBorder="1" applyAlignment="1">
      <alignment horizontal="right"/>
    </xf>
    <xf numFmtId="165" fontId="24" fillId="0" borderId="0" xfId="1" applyNumberFormat="1" applyFont="1" applyBorder="1"/>
    <xf numFmtId="165" fontId="23" fillId="0" borderId="0" xfId="1" applyNumberFormat="1" applyFont="1" applyBorder="1"/>
    <xf numFmtId="165" fontId="4" fillId="0" borderId="0" xfId="1" applyNumberFormat="1" applyFont="1" applyFill="1"/>
    <xf numFmtId="165" fontId="3" fillId="0" borderId="0" xfId="1" applyNumberFormat="1" applyFont="1"/>
    <xf numFmtId="165" fontId="6" fillId="0" borderId="0" xfId="1" applyNumberFormat="1" applyFont="1"/>
    <xf numFmtId="39" fontId="27" fillId="0" borderId="0" xfId="2" applyNumberFormat="1" applyFont="1"/>
    <xf numFmtId="165" fontId="26" fillId="0" borderId="0" xfId="1" applyNumberFormat="1" applyFont="1" applyFill="1" applyBorder="1"/>
    <xf numFmtId="165" fontId="23" fillId="0" borderId="0" xfId="1" applyNumberFormat="1" applyFont="1" applyBorder="1" applyAlignment="1">
      <alignment horizontal="right"/>
    </xf>
    <xf numFmtId="165" fontId="26" fillId="2" borderId="0" xfId="1" applyNumberFormat="1" applyFont="1" applyFill="1" applyBorder="1" applyAlignment="1">
      <alignment horizontal="right"/>
    </xf>
    <xf numFmtId="44" fontId="11" fillId="0" borderId="0" xfId="2" applyNumberFormat="1" applyFont="1"/>
    <xf numFmtId="164" fontId="14" fillId="0" borderId="0" xfId="2" applyNumberFormat="1" applyFont="1"/>
    <xf numFmtId="44" fontId="11" fillId="0" borderId="0" xfId="2" applyNumberFormat="1" applyFont="1" applyAlignment="1">
      <alignment horizontal="center" wrapText="1"/>
    </xf>
    <xf numFmtId="164" fontId="11" fillId="0" borderId="0" xfId="1" applyNumberFormat="1" applyFont="1"/>
    <xf numFmtId="165" fontId="6" fillId="0" borderId="0" xfId="1" applyNumberFormat="1" applyFont="1" applyFill="1" applyBorder="1"/>
    <xf numFmtId="165" fontId="6" fillId="2" borderId="0" xfId="1" applyNumberFormat="1" applyFont="1" applyFill="1" applyBorder="1"/>
    <xf numFmtId="165" fontId="6" fillId="0" borderId="0" xfId="1" applyNumberFormat="1" applyFont="1" applyBorder="1"/>
    <xf numFmtId="164" fontId="11" fillId="0" borderId="0" xfId="2" applyNumberFormat="1" applyFont="1" applyAlignment="1">
      <alignment vertical="center"/>
    </xf>
    <xf numFmtId="165" fontId="5" fillId="0" borderId="0" xfId="1" applyNumberFormat="1" applyFont="1" applyFill="1" applyBorder="1"/>
    <xf numFmtId="165" fontId="23" fillId="0" borderId="0" xfId="1" applyNumberFormat="1" applyFont="1" applyFill="1" applyBorder="1" applyAlignment="1">
      <alignment horizontal="right"/>
    </xf>
    <xf numFmtId="43" fontId="3" fillId="0" borderId="0" xfId="1" applyNumberFormat="1" applyFont="1" applyFill="1" applyBorder="1"/>
    <xf numFmtId="0" fontId="4" fillId="0" borderId="0" xfId="0" applyFont="1"/>
    <xf numFmtId="0" fontId="3" fillId="0" borderId="0" xfId="0" applyFont="1" applyAlignment="1">
      <alignment horizontal="center"/>
    </xf>
    <xf numFmtId="37" fontId="3" fillId="0" borderId="0" xfId="0" applyNumberFormat="1" applyFont="1"/>
    <xf numFmtId="165" fontId="21" fillId="0" borderId="0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37" fontId="23" fillId="0" borderId="0" xfId="0" applyNumberFormat="1" applyFont="1" applyBorder="1"/>
    <xf numFmtId="37" fontId="21" fillId="0" borderId="0" xfId="0" applyNumberFormat="1" applyFont="1" applyBorder="1"/>
    <xf numFmtId="167" fontId="3" fillId="0" borderId="0" xfId="0" applyNumberFormat="1" applyFont="1" applyAlignment="1">
      <alignment horizontal="center"/>
    </xf>
    <xf numFmtId="165" fontId="4" fillId="0" borderId="0" xfId="0" applyNumberFormat="1" applyFont="1"/>
    <xf numFmtId="165" fontId="6" fillId="0" borderId="0" xfId="1" applyNumberFormat="1" applyFont="1" applyFill="1"/>
    <xf numFmtId="44" fontId="11" fillId="0" borderId="0" xfId="0" applyNumberFormat="1" applyFont="1" applyAlignment="1">
      <alignment vertical="center"/>
    </xf>
    <xf numFmtId="165" fontId="3" fillId="0" borderId="0" xfId="1" applyNumberFormat="1" applyFont="1" applyFill="1"/>
    <xf numFmtId="166" fontId="3" fillId="0" borderId="0" xfId="1" applyNumberFormat="1" applyFont="1" applyFill="1" applyBorder="1" applyAlignment="1">
      <alignment horizontal="right"/>
    </xf>
    <xf numFmtId="39" fontId="19" fillId="2" borderId="0" xfId="0" applyNumberFormat="1" applyFont="1" applyFill="1"/>
    <xf numFmtId="39" fontId="5" fillId="0" borderId="0" xfId="0" applyNumberFormat="1" applyFont="1" applyAlignment="1">
      <alignment horizontal="center"/>
    </xf>
    <xf numFmtId="39" fontId="25" fillId="0" borderId="0" xfId="0" applyNumberFormat="1" applyFont="1"/>
    <xf numFmtId="39" fontId="3" fillId="0" borderId="0" xfId="0" applyNumberFormat="1" applyFont="1" applyAlignment="1">
      <alignment horizontal="center"/>
    </xf>
    <xf numFmtId="39" fontId="4" fillId="0" borderId="0" xfId="0" applyNumberFormat="1" applyFont="1" applyAlignment="1">
      <alignment horizontal="center"/>
    </xf>
    <xf numFmtId="39" fontId="4" fillId="3" borderId="1" xfId="0" applyNumberFormat="1" applyFont="1" applyFill="1" applyBorder="1" applyAlignment="1">
      <alignment horizontal="left"/>
    </xf>
    <xf numFmtId="39" fontId="4" fillId="3" borderId="0" xfId="0" applyNumberFormat="1" applyFont="1" applyFill="1" applyBorder="1" applyAlignment="1">
      <alignment horizontal="right"/>
    </xf>
    <xf numFmtId="165" fontId="4" fillId="3" borderId="0" xfId="1" applyNumberFormat="1" applyFont="1" applyFill="1" applyBorder="1" applyAlignment="1">
      <alignment horizontal="right"/>
    </xf>
    <xf numFmtId="165" fontId="4" fillId="3" borderId="0" xfId="1" applyNumberFormat="1" applyFont="1" applyFill="1" applyBorder="1"/>
    <xf numFmtId="39" fontId="4" fillId="3" borderId="0" xfId="0" applyNumberFormat="1" applyFont="1" applyFill="1" applyBorder="1"/>
    <xf numFmtId="39" fontId="25" fillId="0" borderId="0" xfId="0" applyNumberFormat="1" applyFont="1" applyFill="1"/>
    <xf numFmtId="164" fontId="14" fillId="0" borderId="0" xfId="2" applyNumberFormat="1" applyFont="1" applyAlignment="1">
      <alignment vertical="center"/>
    </xf>
    <xf numFmtId="39" fontId="3" fillId="4" borderId="0" xfId="0" applyNumberFormat="1" applyFont="1" applyFill="1" applyAlignment="1">
      <alignment horizontal="center"/>
    </xf>
    <xf numFmtId="165" fontId="4" fillId="4" borderId="0" xfId="1" applyNumberFormat="1" applyFont="1" applyFill="1"/>
    <xf numFmtId="165" fontId="19" fillId="4" borderId="0" xfId="1" applyNumberFormat="1" applyFont="1" applyFill="1"/>
    <xf numFmtId="165" fontId="3" fillId="4" borderId="0" xfId="1" applyNumberFormat="1" applyFont="1" applyFill="1"/>
    <xf numFmtId="165" fontId="6" fillId="4" borderId="0" xfId="1" applyNumberFormat="1" applyFont="1" applyFill="1"/>
    <xf numFmtId="165" fontId="3" fillId="4" borderId="0" xfId="1" applyNumberFormat="1" applyFont="1" applyFill="1" applyBorder="1" applyAlignment="1">
      <alignment horizontal="right"/>
    </xf>
    <xf numFmtId="39" fontId="19" fillId="0" borderId="0" xfId="0" applyNumberFormat="1" applyFont="1"/>
    <xf numFmtId="165" fontId="23" fillId="4" borderId="0" xfId="1" applyNumberFormat="1" applyFont="1" applyFill="1" applyBorder="1"/>
    <xf numFmtId="165" fontId="24" fillId="4" borderId="0" xfId="1" applyNumberFormat="1" applyFont="1" applyFill="1" applyBorder="1" applyAlignment="1">
      <alignment horizontal="right"/>
    </xf>
    <xf numFmtId="43" fontId="4" fillId="0" borderId="0" xfId="0" applyNumberFormat="1" applyFont="1"/>
    <xf numFmtId="43" fontId="4" fillId="0" borderId="0" xfId="1" applyNumberFormat="1" applyFont="1"/>
    <xf numFmtId="166" fontId="30" fillId="4" borderId="0" xfId="0" applyNumberFormat="1" applyFont="1" applyFill="1" applyAlignment="1">
      <alignment horizontal="center"/>
    </xf>
    <xf numFmtId="165" fontId="31" fillId="4" borderId="0" xfId="1" applyNumberFormat="1" applyFont="1" applyFill="1" applyBorder="1" applyAlignment="1">
      <alignment horizontal="right"/>
    </xf>
    <xf numFmtId="165" fontId="31" fillId="0" borderId="0" xfId="1" applyNumberFormat="1" applyFont="1" applyFill="1" applyBorder="1" applyAlignment="1">
      <alignment horizontal="right"/>
    </xf>
    <xf numFmtId="165" fontId="32" fillId="4" borderId="0" xfId="1" applyNumberFormat="1" applyFont="1" applyFill="1"/>
    <xf numFmtId="165" fontId="32" fillId="0" borderId="0" xfId="1" applyNumberFormat="1" applyFont="1"/>
    <xf numFmtId="165" fontId="31" fillId="0" borderId="0" xfId="1" applyNumberFormat="1" applyFont="1" applyFill="1" applyBorder="1"/>
    <xf numFmtId="165" fontId="33" fillId="0" borderId="0" xfId="1" applyNumberFormat="1" applyFont="1"/>
    <xf numFmtId="43" fontId="4" fillId="0" borderId="0" xfId="0" applyNumberFormat="1" applyFont="1" applyFill="1"/>
    <xf numFmtId="165" fontId="19" fillId="0" borderId="0" xfId="0" applyNumberFormat="1" applyFont="1" applyFill="1"/>
    <xf numFmtId="165" fontId="31" fillId="0" borderId="0" xfId="1" applyNumberFormat="1" applyFont="1" applyFill="1"/>
    <xf numFmtId="0" fontId="4" fillId="0" borderId="0" xfId="0" applyFont="1" applyFill="1"/>
    <xf numFmtId="37" fontId="3" fillId="0" borderId="0" xfId="0" applyNumberFormat="1" applyFont="1" applyFill="1"/>
    <xf numFmtId="39" fontId="31" fillId="0" borderId="0" xfId="0" applyNumberFormat="1" applyFont="1"/>
    <xf numFmtId="165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43" fontId="4" fillId="0" borderId="0" xfId="1" applyNumberFormat="1" applyFont="1" applyBorder="1"/>
    <xf numFmtId="43" fontId="4" fillId="3" borderId="0" xfId="1" applyNumberFormat="1" applyFont="1" applyFill="1" applyBorder="1" applyAlignment="1">
      <alignment horizontal="right"/>
    </xf>
    <xf numFmtId="165" fontId="19" fillId="0" borderId="0" xfId="1" applyNumberFormat="1" applyFont="1" applyFill="1"/>
    <xf numFmtId="164" fontId="34" fillId="0" borderId="0" xfId="1" applyNumberFormat="1" applyFont="1"/>
    <xf numFmtId="165" fontId="21" fillId="0" borderId="0" xfId="1" applyNumberFormat="1" applyFont="1" applyFill="1"/>
  </cellXfs>
  <cellStyles count="83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G39"/>
  <sheetViews>
    <sheetView tabSelected="1" workbookViewId="0">
      <selection activeCell="T36" sqref="T36"/>
    </sheetView>
  </sheetViews>
  <sheetFormatPr baseColWidth="10" defaultColWidth="8.83203125" defaultRowHeight="17" x14ac:dyDescent="0"/>
  <cols>
    <col min="1" max="1" width="8.1640625" style="2" customWidth="1"/>
    <col min="2" max="2" width="52" style="2" customWidth="1"/>
    <col min="3" max="3" width="18.83203125" style="80" customWidth="1"/>
    <col min="4" max="4" width="18.83203125" style="33" customWidth="1"/>
    <col min="5" max="5" width="12.33203125" style="2" customWidth="1"/>
    <col min="6" max="6" width="18" style="2" customWidth="1"/>
    <col min="7" max="7" width="11" style="2" bestFit="1" customWidth="1"/>
    <col min="8" max="16384" width="8.83203125" style="2"/>
  </cols>
  <sheetData>
    <row r="1" spans="1:5">
      <c r="A1" s="3"/>
      <c r="B1" s="4" t="s">
        <v>12</v>
      </c>
      <c r="C1" s="82"/>
    </row>
    <row r="2" spans="1:5">
      <c r="A2" s="3"/>
      <c r="B2" s="4" t="s">
        <v>101</v>
      </c>
      <c r="C2" s="82"/>
    </row>
    <row r="3" spans="1:5">
      <c r="A3" s="3"/>
      <c r="B3" s="4" t="s">
        <v>104</v>
      </c>
      <c r="C3" s="82"/>
    </row>
    <row r="4" spans="1:5">
      <c r="B4" s="9" t="s">
        <v>103</v>
      </c>
    </row>
    <row r="6" spans="1:5">
      <c r="B6" s="1" t="s">
        <v>36</v>
      </c>
    </row>
    <row r="7" spans="1:5">
      <c r="B7" s="2" t="s">
        <v>37</v>
      </c>
    </row>
    <row r="8" spans="1:5">
      <c r="B8" s="2" t="s">
        <v>38</v>
      </c>
      <c r="C8" s="34"/>
      <c r="E8" s="33"/>
    </row>
    <row r="9" spans="1:5">
      <c r="B9" s="2" t="s">
        <v>39</v>
      </c>
      <c r="C9" s="35">
        <v>185253.86</v>
      </c>
      <c r="D9" s="8"/>
      <c r="E9" s="33"/>
    </row>
    <row r="10" spans="1:5">
      <c r="C10" s="34"/>
      <c r="E10" s="33"/>
    </row>
    <row r="11" spans="1:5" ht="20">
      <c r="B11" s="2" t="s">
        <v>40</v>
      </c>
      <c r="C11" s="81">
        <v>25551.08</v>
      </c>
      <c r="E11" s="33"/>
    </row>
    <row r="12" spans="1:5" ht="20" hidden="1">
      <c r="B12" s="2" t="s">
        <v>92</v>
      </c>
      <c r="C12" s="81">
        <v>0</v>
      </c>
      <c r="E12" s="33"/>
    </row>
    <row r="13" spans="1:5">
      <c r="B13" s="1" t="s">
        <v>52</v>
      </c>
      <c r="C13" s="35">
        <f>SUM(C11:C12)</f>
        <v>25551.08</v>
      </c>
      <c r="E13" s="33"/>
    </row>
    <row r="14" spans="1:5">
      <c r="C14" s="34"/>
      <c r="E14" s="33"/>
    </row>
    <row r="15" spans="1:5">
      <c r="B15" s="5" t="s">
        <v>55</v>
      </c>
      <c r="C15" s="34"/>
      <c r="E15" s="33"/>
    </row>
    <row r="16" spans="1:5">
      <c r="B16" s="2" t="s">
        <v>41</v>
      </c>
      <c r="C16" s="34">
        <v>26225.23</v>
      </c>
      <c r="E16" s="33"/>
    </row>
    <row r="17" spans="2:7">
      <c r="B17" s="2" t="s">
        <v>42</v>
      </c>
      <c r="C17" s="34">
        <v>746958.81</v>
      </c>
      <c r="E17" s="33"/>
    </row>
    <row r="18" spans="2:7">
      <c r="B18" s="2" t="s">
        <v>65</v>
      </c>
      <c r="C18" s="36">
        <v>37815.120000000003</v>
      </c>
      <c r="E18" s="33"/>
    </row>
    <row r="19" spans="2:7">
      <c r="B19" s="1" t="s">
        <v>54</v>
      </c>
      <c r="C19" s="35">
        <f>SUM(C16:C18)</f>
        <v>810999.16</v>
      </c>
      <c r="E19" s="33"/>
    </row>
    <row r="20" spans="2:7">
      <c r="C20" s="34"/>
      <c r="E20" s="33"/>
    </row>
    <row r="21" spans="2:7" ht="18" thickBot="1">
      <c r="B21" s="1" t="s">
        <v>43</v>
      </c>
      <c r="C21" s="34"/>
      <c r="D21" s="37">
        <f>C9+C13+C19</f>
        <v>1021804.1000000001</v>
      </c>
      <c r="E21" s="33"/>
      <c r="F21" s="8"/>
      <c r="G21" s="8"/>
    </row>
    <row r="22" spans="2:7" ht="18" thickTop="1">
      <c r="B22" s="1"/>
      <c r="C22" s="35"/>
      <c r="D22" s="8"/>
      <c r="E22" s="33"/>
    </row>
    <row r="23" spans="2:7">
      <c r="B23" s="1" t="s">
        <v>44</v>
      </c>
      <c r="C23" s="34"/>
      <c r="D23" s="8"/>
      <c r="E23" s="33"/>
    </row>
    <row r="24" spans="2:7">
      <c r="B24" s="2" t="s">
        <v>45</v>
      </c>
      <c r="C24" s="34"/>
      <c r="D24" s="8"/>
      <c r="E24" s="33"/>
    </row>
    <row r="25" spans="2:7" s="11" customFormat="1" ht="18" customHeight="1">
      <c r="B25" s="11" t="s">
        <v>46</v>
      </c>
      <c r="C25" s="116">
        <v>97970.63</v>
      </c>
      <c r="D25" s="102"/>
      <c r="E25" s="38"/>
    </row>
    <row r="26" spans="2:7" s="11" customFormat="1" ht="18" hidden="1" customHeight="1">
      <c r="B26" s="2" t="s">
        <v>86</v>
      </c>
      <c r="C26" s="87">
        <v>0</v>
      </c>
      <c r="D26" s="102"/>
      <c r="E26" s="38"/>
    </row>
    <row r="27" spans="2:7" s="11" customFormat="1" ht="18" hidden="1" customHeight="1">
      <c r="B27" s="11" t="s">
        <v>88</v>
      </c>
      <c r="C27" s="87">
        <v>0</v>
      </c>
      <c r="D27" s="102"/>
      <c r="E27" s="38"/>
    </row>
    <row r="28" spans="2:7" s="11" customFormat="1" ht="18" hidden="1" customHeight="1">
      <c r="B28" s="11" t="s">
        <v>87</v>
      </c>
      <c r="C28" s="87">
        <v>0</v>
      </c>
      <c r="D28" s="102"/>
      <c r="E28" s="38"/>
    </row>
    <row r="29" spans="2:7">
      <c r="B29" s="1" t="s">
        <v>47</v>
      </c>
      <c r="C29" s="35">
        <f>SUM(C25:C28)</f>
        <v>97970.63</v>
      </c>
      <c r="D29" s="8"/>
      <c r="E29" s="33"/>
    </row>
    <row r="30" spans="2:7">
      <c r="C30" s="34"/>
      <c r="D30" s="8"/>
      <c r="E30" s="33"/>
    </row>
    <row r="31" spans="2:7" s="1" customFormat="1">
      <c r="B31" s="1" t="s">
        <v>53</v>
      </c>
      <c r="C31" s="35">
        <f>C29</f>
        <v>97970.63</v>
      </c>
      <c r="D31" s="10"/>
      <c r="E31" s="39"/>
    </row>
    <row r="32" spans="2:7" s="1" customFormat="1">
      <c r="C32" s="35"/>
      <c r="D32" s="10"/>
      <c r="E32" s="39"/>
    </row>
    <row r="33" spans="2:6">
      <c r="B33" s="2" t="s">
        <v>48</v>
      </c>
      <c r="C33" s="34"/>
      <c r="D33" s="8"/>
      <c r="E33" s="33"/>
    </row>
    <row r="34" spans="2:6">
      <c r="B34" s="2" t="s">
        <v>49</v>
      </c>
      <c r="C34" s="83">
        <v>931628.33</v>
      </c>
      <c r="D34" s="8"/>
      <c r="E34" s="33"/>
    </row>
    <row r="35" spans="2:6">
      <c r="B35" s="2" t="s">
        <v>50</v>
      </c>
      <c r="C35" s="146">
        <f>'SOA Fiscal 2018-19'!D62</f>
        <v>-7794.8599999999278</v>
      </c>
      <c r="D35" s="8"/>
      <c r="E35" s="33"/>
    </row>
    <row r="36" spans="2:6" s="1" customFormat="1">
      <c r="B36" s="1" t="s">
        <v>71</v>
      </c>
      <c r="C36" s="35">
        <f>SUM(C34:C35)</f>
        <v>923833.47</v>
      </c>
      <c r="D36" s="10"/>
      <c r="E36" s="39"/>
      <c r="F36" s="7"/>
    </row>
    <row r="37" spans="2:6">
      <c r="C37" s="34"/>
      <c r="D37" s="8"/>
      <c r="E37" s="33"/>
      <c r="F37" s="8"/>
    </row>
    <row r="38" spans="2:6" s="1" customFormat="1" ht="18" thickBot="1">
      <c r="B38" s="1" t="s">
        <v>51</v>
      </c>
      <c r="C38" s="39"/>
      <c r="D38" s="37">
        <f>C36+C31</f>
        <v>1021804.1</v>
      </c>
      <c r="E38" s="39"/>
      <c r="F38" s="10"/>
    </row>
    <row r="39" spans="2:6" ht="18" thickTop="1">
      <c r="C39" s="34"/>
      <c r="E39" s="33"/>
    </row>
  </sheetData>
  <phoneticPr fontId="2" type="noConversion"/>
  <pageMargins left="0.75" right="0.75" top="1" bottom="1" header="0.5" footer="0.5"/>
  <pageSetup scale="7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B1:EF99"/>
  <sheetViews>
    <sheetView showGridLines="0" workbookViewId="0">
      <pane xSplit="15" ySplit="7" topLeftCell="P8" activePane="bottomRight" state="frozen"/>
      <selection activeCell="C34" sqref="C34"/>
      <selection pane="topRight" activeCell="C34" sqref="C34"/>
      <selection pane="bottomLeft" activeCell="C34" sqref="C34"/>
      <selection pane="bottomRight" activeCell="S35" sqref="S35"/>
    </sheetView>
  </sheetViews>
  <sheetFormatPr baseColWidth="10" defaultColWidth="9.1640625" defaultRowHeight="15" x14ac:dyDescent="0"/>
  <cols>
    <col min="1" max="1" width="6.33203125" style="6" customWidth="1"/>
    <col min="2" max="2" width="39.6640625" style="6" customWidth="1"/>
    <col min="3" max="3" width="4.6640625" style="6" customWidth="1"/>
    <col min="4" max="4" width="14.83203125" style="41" customWidth="1"/>
    <col min="5" max="5" width="16.1640625" style="6" customWidth="1"/>
    <col min="6" max="6" width="16.1640625" style="91" customWidth="1"/>
    <col min="7" max="7" width="14.33203125" style="91" customWidth="1"/>
    <col min="8" max="8" width="12" style="61" customWidth="1"/>
    <col min="9" max="9" width="13" style="53" hidden="1" customWidth="1"/>
    <col min="10" max="10" width="13" style="73" hidden="1" customWidth="1"/>
    <col min="11" max="13" width="13" style="41" hidden="1" customWidth="1"/>
    <col min="14" max="14" width="14.5" style="6" hidden="1" customWidth="1"/>
    <col min="15" max="15" width="13.5" style="13" hidden="1" customWidth="1"/>
    <col min="16" max="16" width="14.33203125" style="13" customWidth="1"/>
    <col min="17" max="17" width="11.5" style="6" bestFit="1" customWidth="1"/>
    <col min="18" max="18" width="13.6640625" style="6" bestFit="1" customWidth="1"/>
    <col min="19" max="19" width="12" style="6" bestFit="1" customWidth="1"/>
    <col min="20" max="20" width="9.33203125" style="6" bestFit="1" customWidth="1"/>
    <col min="21" max="21" width="13.6640625" style="6" bestFit="1" customWidth="1"/>
    <col min="22" max="23" width="14.6640625" style="6" bestFit="1" customWidth="1"/>
    <col min="24" max="26" width="9.1640625" style="6"/>
    <col min="27" max="27" width="13.6640625" style="6" bestFit="1" customWidth="1"/>
    <col min="28" max="28" width="11.5" style="6" bestFit="1" customWidth="1"/>
    <col min="29" max="30" width="13.6640625" style="6" bestFit="1" customWidth="1"/>
    <col min="31" max="31" width="15.6640625" style="6" customWidth="1"/>
    <col min="32" max="32" width="15.83203125" style="6" customWidth="1"/>
    <col min="33" max="35" width="9.1640625" style="6"/>
    <col min="36" max="36" width="10.83203125" style="6" bestFit="1" customWidth="1"/>
    <col min="37" max="37" width="13.6640625" style="6" customWidth="1"/>
    <col min="38" max="43" width="9.1640625" style="6"/>
    <col min="44" max="44" width="10.1640625" style="6" bestFit="1" customWidth="1"/>
    <col min="45" max="292" width="9.1640625" style="6"/>
    <col min="293" max="294" width="10.83203125" style="6" bestFit="1" customWidth="1"/>
    <col min="295" max="295" width="11.5" style="6" bestFit="1" customWidth="1"/>
    <col min="296" max="16384" width="9.1640625" style="6"/>
  </cols>
  <sheetData>
    <row r="1" spans="2:15">
      <c r="B1" s="30" t="s">
        <v>12</v>
      </c>
      <c r="H1" s="40"/>
      <c r="I1" s="40"/>
      <c r="J1" s="40"/>
      <c r="K1" s="42"/>
      <c r="O1" s="14"/>
    </row>
    <row r="2" spans="2:15">
      <c r="B2" s="17" t="s">
        <v>26</v>
      </c>
      <c r="H2" s="40"/>
      <c r="I2" s="40"/>
      <c r="J2" s="40"/>
      <c r="K2" s="42"/>
      <c r="O2" s="14"/>
    </row>
    <row r="3" spans="2:15">
      <c r="B3" s="15" t="s">
        <v>0</v>
      </c>
      <c r="H3" s="40"/>
      <c r="I3" s="40"/>
      <c r="J3" s="40"/>
      <c r="K3" s="42"/>
      <c r="O3" s="14"/>
    </row>
    <row r="4" spans="2:15">
      <c r="B4" s="76" t="str">
        <f>'Balance Sheet'!B3</f>
        <v>as of September 30, 2018</v>
      </c>
      <c r="D4" s="141" t="s">
        <v>100</v>
      </c>
      <c r="H4" s="40"/>
      <c r="I4" s="40"/>
      <c r="J4" s="40"/>
      <c r="K4" s="42"/>
      <c r="O4" s="14"/>
    </row>
    <row r="5" spans="2:15">
      <c r="B5" s="14"/>
      <c r="D5" s="141" t="s">
        <v>99</v>
      </c>
      <c r="E5" s="117" t="s">
        <v>91</v>
      </c>
      <c r="F5" s="92" t="s">
        <v>89</v>
      </c>
      <c r="G5" s="92" t="s">
        <v>78</v>
      </c>
      <c r="H5" s="43" t="s">
        <v>72</v>
      </c>
      <c r="I5" s="43" t="s">
        <v>56</v>
      </c>
      <c r="J5" s="43" t="s">
        <v>24</v>
      </c>
      <c r="K5" s="44" t="s">
        <v>22</v>
      </c>
      <c r="L5" s="45" t="s">
        <v>19</v>
      </c>
      <c r="M5" s="45" t="s">
        <v>18</v>
      </c>
      <c r="N5" s="12" t="s">
        <v>16</v>
      </c>
      <c r="O5" s="12" t="s">
        <v>14</v>
      </c>
    </row>
    <row r="6" spans="2:15" ht="16" customHeight="1">
      <c r="B6" s="14"/>
      <c r="D6" s="142">
        <v>43373</v>
      </c>
      <c r="E6" s="117" t="s">
        <v>93</v>
      </c>
      <c r="F6" s="96" t="s">
        <v>102</v>
      </c>
      <c r="G6" s="96" t="s">
        <v>67</v>
      </c>
      <c r="H6" s="47" t="s">
        <v>82</v>
      </c>
      <c r="I6" s="46" t="s">
        <v>67</v>
      </c>
      <c r="J6" s="47" t="s">
        <v>67</v>
      </c>
      <c r="K6" s="48" t="s">
        <v>34</v>
      </c>
      <c r="L6" s="49" t="s">
        <v>34</v>
      </c>
      <c r="M6" s="49" t="s">
        <v>34</v>
      </c>
      <c r="N6" s="16" t="s">
        <v>34</v>
      </c>
      <c r="O6" s="16" t="s">
        <v>34</v>
      </c>
    </row>
    <row r="7" spans="2:15">
      <c r="B7" s="17" t="s">
        <v>60</v>
      </c>
      <c r="D7" s="141"/>
      <c r="E7" s="128">
        <v>43017</v>
      </c>
      <c r="F7" s="99" t="s">
        <v>96</v>
      </c>
      <c r="G7" s="99"/>
      <c r="H7" s="104"/>
      <c r="I7" s="43"/>
      <c r="J7" s="43"/>
      <c r="K7" s="50"/>
      <c r="L7" s="51"/>
      <c r="M7" s="52"/>
      <c r="N7" s="18"/>
      <c r="O7" s="18"/>
    </row>
    <row r="8" spans="2:15">
      <c r="B8" s="13" t="s">
        <v>23</v>
      </c>
      <c r="D8" s="41">
        <v>5500</v>
      </c>
      <c r="E8" s="118">
        <v>9000</v>
      </c>
      <c r="F8" s="73">
        <v>7250</v>
      </c>
      <c r="G8" s="73">
        <f>8750</f>
        <v>8750</v>
      </c>
      <c r="H8" s="53">
        <v>8000</v>
      </c>
      <c r="I8" s="53">
        <v>9000</v>
      </c>
      <c r="J8" s="53">
        <v>3750</v>
      </c>
      <c r="K8" s="54">
        <f>5084+2000+1150</f>
        <v>8234</v>
      </c>
      <c r="L8" s="42">
        <v>1575</v>
      </c>
      <c r="M8" s="42">
        <v>1575</v>
      </c>
      <c r="N8" s="13">
        <v>1575</v>
      </c>
      <c r="O8" s="13">
        <f>900+225+225+225</f>
        <v>1575</v>
      </c>
    </row>
    <row r="9" spans="2:15">
      <c r="B9" s="13" t="s">
        <v>17</v>
      </c>
      <c r="D9" s="41">
        <v>14000</v>
      </c>
      <c r="E9" s="118">
        <v>18000</v>
      </c>
      <c r="F9" s="73">
        <v>18000</v>
      </c>
      <c r="G9" s="73">
        <f>17000</f>
        <v>17000</v>
      </c>
      <c r="H9" s="53">
        <v>19500</v>
      </c>
      <c r="I9" s="53">
        <v>18000</v>
      </c>
      <c r="J9" s="53">
        <f>8167</f>
        <v>8167</v>
      </c>
      <c r="K9" s="54">
        <f>15850+10000</f>
        <v>25850</v>
      </c>
      <c r="L9" s="42">
        <v>6000</v>
      </c>
      <c r="M9" s="42">
        <v>8000</v>
      </c>
      <c r="N9" s="13">
        <f>6000+2000</f>
        <v>8000</v>
      </c>
      <c r="O9" s="13">
        <v>5400</v>
      </c>
    </row>
    <row r="10" spans="2:15">
      <c r="B10" s="13" t="s">
        <v>94</v>
      </c>
      <c r="D10" s="41">
        <v>105000</v>
      </c>
      <c r="E10" s="118">
        <v>120000</v>
      </c>
      <c r="F10" s="73">
        <v>84500</v>
      </c>
      <c r="G10" s="73">
        <v>80750</v>
      </c>
      <c r="H10" s="53">
        <v>75830</v>
      </c>
      <c r="I10" s="53">
        <v>79270.59</v>
      </c>
      <c r="J10" s="53">
        <f>15015+39250</f>
        <v>54265</v>
      </c>
      <c r="K10" s="54">
        <f>70524.94+18000+7500</f>
        <v>96024.94</v>
      </c>
      <c r="L10" s="42">
        <f>39600+22325</f>
        <v>61925</v>
      </c>
      <c r="M10" s="42">
        <f>54000-560</f>
        <v>53440</v>
      </c>
      <c r="N10" s="13">
        <v>52225</v>
      </c>
      <c r="O10" s="13">
        <f>55650+7775</f>
        <v>63425</v>
      </c>
    </row>
    <row r="11" spans="2:15">
      <c r="B11" s="13" t="s">
        <v>97</v>
      </c>
      <c r="D11" s="41">
        <v>8250</v>
      </c>
      <c r="E11" s="118">
        <v>2000</v>
      </c>
      <c r="F11" s="73">
        <v>0</v>
      </c>
      <c r="G11" s="73">
        <v>1915</v>
      </c>
      <c r="H11" s="53">
        <v>0</v>
      </c>
      <c r="I11" s="53">
        <v>1350</v>
      </c>
      <c r="J11" s="53">
        <v>1365</v>
      </c>
      <c r="K11" s="54">
        <v>975</v>
      </c>
      <c r="L11" s="42">
        <v>0</v>
      </c>
      <c r="M11" s="42">
        <v>0</v>
      </c>
      <c r="N11" s="13">
        <v>0</v>
      </c>
    </row>
    <row r="12" spans="2:15">
      <c r="B12" s="13" t="s">
        <v>74</v>
      </c>
      <c r="D12" s="41">
        <v>4419</v>
      </c>
      <c r="E12" s="118">
        <v>110000</v>
      </c>
      <c r="F12" s="73">
        <v>102735</v>
      </c>
      <c r="G12" s="73">
        <f>94030.22+436.5</f>
        <v>94466.72</v>
      </c>
      <c r="H12" s="53">
        <v>30115</v>
      </c>
      <c r="I12" s="53">
        <v>29480</v>
      </c>
      <c r="J12" s="53">
        <v>26960</v>
      </c>
      <c r="K12" s="54">
        <v>15218</v>
      </c>
      <c r="L12" s="42">
        <f>28055-3210</f>
        <v>24845</v>
      </c>
      <c r="M12" s="42">
        <v>22740</v>
      </c>
      <c r="N12" s="13">
        <f>20018-397</f>
        <v>19621</v>
      </c>
      <c r="O12" s="13">
        <v>12168</v>
      </c>
    </row>
    <row r="13" spans="2:15">
      <c r="B13" s="13" t="s">
        <v>1</v>
      </c>
      <c r="D13" s="41">
        <f>2500+13528.21</f>
        <v>16028.21</v>
      </c>
      <c r="E13" s="118">
        <v>115000</v>
      </c>
      <c r="F13" s="73">
        <f>28500+51000</f>
        <v>79500</v>
      </c>
      <c r="G13" s="73">
        <v>25000</v>
      </c>
      <c r="H13" s="53">
        <f>12934+6000</f>
        <v>18934</v>
      </c>
      <c r="I13" s="53">
        <v>10624.71</v>
      </c>
      <c r="J13" s="53">
        <v>17230.900000000001</v>
      </c>
      <c r="K13" s="54">
        <v>11750</v>
      </c>
      <c r="L13" s="42">
        <v>11000</v>
      </c>
      <c r="M13" s="42">
        <v>20202</v>
      </c>
      <c r="N13" s="13">
        <v>14700</v>
      </c>
      <c r="O13" s="13">
        <f>5350+5000</f>
        <v>10350</v>
      </c>
    </row>
    <row r="14" spans="2:15">
      <c r="B14" s="13" t="s">
        <v>79</v>
      </c>
      <c r="D14" s="41">
        <v>0</v>
      </c>
      <c r="E14" s="118">
        <v>5000</v>
      </c>
      <c r="F14" s="73">
        <v>0</v>
      </c>
      <c r="G14" s="73">
        <v>5000</v>
      </c>
      <c r="H14" s="53">
        <v>5000</v>
      </c>
      <c r="I14" s="53">
        <v>0</v>
      </c>
      <c r="J14" s="53">
        <v>0</v>
      </c>
      <c r="K14" s="54">
        <v>0</v>
      </c>
      <c r="L14" s="42">
        <v>0</v>
      </c>
      <c r="M14" s="42">
        <v>0</v>
      </c>
      <c r="N14" s="13">
        <v>0</v>
      </c>
      <c r="O14" s="13">
        <v>7000</v>
      </c>
    </row>
    <row r="15" spans="2:15">
      <c r="B15" s="13" t="s">
        <v>73</v>
      </c>
      <c r="D15" s="41">
        <v>0</v>
      </c>
      <c r="E15" s="118">
        <v>0</v>
      </c>
      <c r="F15" s="73">
        <v>43915</v>
      </c>
      <c r="G15" s="73">
        <v>168639</v>
      </c>
      <c r="H15" s="53">
        <v>106067.5</v>
      </c>
      <c r="I15" s="53">
        <v>106466.18</v>
      </c>
      <c r="J15" s="53">
        <v>92342.19</v>
      </c>
      <c r="K15" s="54">
        <v>89181.5</v>
      </c>
      <c r="L15" s="42">
        <v>78175</v>
      </c>
      <c r="M15" s="42">
        <f>74380+90+835</f>
        <v>75305</v>
      </c>
      <c r="N15" s="13">
        <v>69522</v>
      </c>
      <c r="O15" s="13">
        <f>59245+385-11259</f>
        <v>48371</v>
      </c>
    </row>
    <row r="16" spans="2:15">
      <c r="B16" s="13" t="s">
        <v>105</v>
      </c>
      <c r="D16" s="41">
        <v>0</v>
      </c>
      <c r="E16" s="118">
        <v>0</v>
      </c>
      <c r="F16" s="73">
        <v>0</v>
      </c>
      <c r="G16" s="73">
        <v>0</v>
      </c>
      <c r="H16" s="53">
        <v>26100</v>
      </c>
      <c r="I16" s="53">
        <v>57350</v>
      </c>
      <c r="J16" s="53">
        <v>49195.01</v>
      </c>
      <c r="K16" s="54">
        <v>52300</v>
      </c>
      <c r="L16" s="42">
        <f>41007.99+2585</f>
        <v>43592.99</v>
      </c>
      <c r="M16" s="42">
        <f>45066</f>
        <v>45066</v>
      </c>
      <c r="N16" s="13">
        <f>36300</f>
        <v>36300</v>
      </c>
      <c r="O16" s="13">
        <v>49275</v>
      </c>
    </row>
    <row r="17" spans="2:16">
      <c r="B17" s="13" t="s">
        <v>25</v>
      </c>
      <c r="D17" s="41">
        <v>0</v>
      </c>
      <c r="E17" s="118">
        <v>500</v>
      </c>
      <c r="F17" s="41">
        <f>955.21+36.4</f>
        <v>991.61</v>
      </c>
      <c r="G17" s="73">
        <f>803.03+531.87+731</f>
        <v>2065.9</v>
      </c>
      <c r="H17" s="53">
        <f>1.55+388.8</f>
        <v>390.35</v>
      </c>
      <c r="I17" s="53">
        <v>643.94000000000005</v>
      </c>
      <c r="J17" s="53">
        <f>100+586.54</f>
        <v>686.54</v>
      </c>
      <c r="K17" s="54">
        <f>3166.17+491.84</f>
        <v>3658.01</v>
      </c>
      <c r="L17" s="42">
        <f>663+483.09</f>
        <v>1146.0899999999999</v>
      </c>
      <c r="M17" s="42">
        <f>120+576.96+738.64</f>
        <v>1435.6</v>
      </c>
      <c r="N17" s="13">
        <f>240+800+761.02</f>
        <v>1801.02</v>
      </c>
      <c r="O17" s="13">
        <f>180+2150+1028.07</f>
        <v>3358.0699999999997</v>
      </c>
    </row>
    <row r="18" spans="2:16" s="123" customFormat="1" ht="18">
      <c r="B18" s="19" t="s">
        <v>69</v>
      </c>
      <c r="D18" s="132">
        <f>209721.95</f>
        <v>209721.95</v>
      </c>
      <c r="E18" s="131">
        <v>1014870</v>
      </c>
      <c r="F18" s="132">
        <v>1450846.33</v>
      </c>
      <c r="G18" s="137">
        <f>1976854.41+1450.36</f>
        <v>1978304.77</v>
      </c>
      <c r="H18" s="133">
        <f>1739289.3-25704</f>
        <v>1713585.3</v>
      </c>
      <c r="I18" s="133">
        <v>1485895.89</v>
      </c>
      <c r="J18" s="55">
        <f>474705.04+95753.95+100660.63+150090.22+94059.41+309498+88333.3+4845.74</f>
        <v>1317946.29</v>
      </c>
      <c r="K18" s="56">
        <f>22541.4+478047.67+50150.61+76926.57+52453.74+63500+140799.38+65519.73+206332</f>
        <v>1156271.1000000001</v>
      </c>
      <c r="L18" s="57">
        <v>592638</v>
      </c>
      <c r="M18" s="57">
        <v>810100</v>
      </c>
      <c r="N18" s="19">
        <v>590995</v>
      </c>
      <c r="O18" s="19">
        <v>465349.76</v>
      </c>
      <c r="P18" s="19"/>
    </row>
    <row r="19" spans="2:16" ht="18" hidden="1">
      <c r="B19" s="13" t="s">
        <v>58</v>
      </c>
      <c r="E19" s="121">
        <v>0</v>
      </c>
      <c r="F19" s="75">
        <v>0</v>
      </c>
      <c r="G19" s="75">
        <v>0</v>
      </c>
      <c r="H19" s="88">
        <v>0</v>
      </c>
      <c r="I19" s="58">
        <v>0</v>
      </c>
      <c r="J19" s="58">
        <v>0</v>
      </c>
      <c r="K19" s="59">
        <v>0</v>
      </c>
      <c r="L19" s="60">
        <v>0</v>
      </c>
      <c r="M19" s="60">
        <v>0</v>
      </c>
      <c r="N19" s="22">
        <v>5015</v>
      </c>
      <c r="O19" s="22">
        <v>3369.45</v>
      </c>
    </row>
    <row r="20" spans="2:16">
      <c r="B20" s="18" t="s">
        <v>27</v>
      </c>
      <c r="D20" s="74">
        <f t="shared" ref="D20:O20" si="0">SUM(D8:D19)</f>
        <v>362919.16000000003</v>
      </c>
      <c r="E20" s="120">
        <f t="shared" si="0"/>
        <v>1394370</v>
      </c>
      <c r="F20" s="74">
        <f t="shared" si="0"/>
        <v>1787737.94</v>
      </c>
      <c r="G20" s="74">
        <f t="shared" si="0"/>
        <v>2381891.39</v>
      </c>
      <c r="H20" s="43">
        <f t="shared" si="0"/>
        <v>2003522.15</v>
      </c>
      <c r="I20" s="61">
        <f t="shared" si="0"/>
        <v>1798081.3099999998</v>
      </c>
      <c r="J20" s="43">
        <f t="shared" si="0"/>
        <v>1571907.9300000002</v>
      </c>
      <c r="K20" s="62">
        <f t="shared" si="0"/>
        <v>1459462.55</v>
      </c>
      <c r="L20" s="52">
        <f t="shared" si="0"/>
        <v>820897.08</v>
      </c>
      <c r="M20" s="51">
        <f t="shared" si="0"/>
        <v>1037863.6</v>
      </c>
      <c r="N20" s="14">
        <f t="shared" si="0"/>
        <v>799754.02</v>
      </c>
      <c r="O20" s="14">
        <f t="shared" si="0"/>
        <v>669641.28</v>
      </c>
    </row>
    <row r="21" spans="2:16">
      <c r="B21" s="18"/>
      <c r="E21" s="118"/>
      <c r="H21" s="43"/>
      <c r="J21" s="43"/>
      <c r="K21" s="62"/>
      <c r="L21" s="52"/>
      <c r="M21" s="42"/>
      <c r="N21" s="13"/>
    </row>
    <row r="22" spans="2:16">
      <c r="B22" s="17" t="s">
        <v>61</v>
      </c>
      <c r="E22" s="118"/>
      <c r="H22" s="43"/>
      <c r="J22" s="43"/>
      <c r="K22" s="62"/>
      <c r="L22" s="52"/>
      <c r="M22" s="42"/>
      <c r="N22" s="13"/>
    </row>
    <row r="23" spans="2:16">
      <c r="B23" s="13" t="s">
        <v>83</v>
      </c>
      <c r="D23" s="41">
        <v>3507.33</v>
      </c>
      <c r="E23" s="118">
        <v>25000</v>
      </c>
      <c r="F23" s="41">
        <v>34460.58</v>
      </c>
      <c r="G23" s="73">
        <v>24896.799999999999</v>
      </c>
      <c r="H23" s="53">
        <v>37350.519999999997</v>
      </c>
      <c r="I23" s="53">
        <v>28141.74</v>
      </c>
      <c r="J23" s="53">
        <v>18770.13</v>
      </c>
      <c r="K23" s="54">
        <v>15465.51</v>
      </c>
      <c r="L23" s="42">
        <v>8918</v>
      </c>
      <c r="M23" s="42">
        <v>13691</v>
      </c>
      <c r="N23" s="13">
        <v>5762</v>
      </c>
      <c r="O23" s="13">
        <v>6134</v>
      </c>
    </row>
    <row r="24" spans="2:16">
      <c r="B24" s="24" t="s">
        <v>84</v>
      </c>
      <c r="D24" s="41">
        <v>0</v>
      </c>
      <c r="E24" s="118">
        <v>0</v>
      </c>
      <c r="F24" s="41">
        <v>26593.58</v>
      </c>
      <c r="G24" s="147">
        <v>-132.74</v>
      </c>
      <c r="H24" s="94">
        <v>-19216.38</v>
      </c>
      <c r="I24" s="53">
        <v>0</v>
      </c>
      <c r="J24" s="43">
        <v>0</v>
      </c>
      <c r="K24" s="63">
        <v>46285.55</v>
      </c>
      <c r="L24" s="64">
        <v>0</v>
      </c>
      <c r="M24" s="42">
        <v>0</v>
      </c>
      <c r="N24" s="13">
        <v>0</v>
      </c>
      <c r="O24" s="13">
        <v>0</v>
      </c>
    </row>
    <row r="25" spans="2:16" ht="18">
      <c r="B25" s="13" t="s">
        <v>85</v>
      </c>
      <c r="D25" s="75">
        <v>8127.7</v>
      </c>
      <c r="E25" s="121">
        <v>30000</v>
      </c>
      <c r="F25" s="134">
        <v>-28174.240000000002</v>
      </c>
      <c r="G25" s="101">
        <f>58725.42+1061.85</f>
        <v>59787.27</v>
      </c>
      <c r="H25" s="77">
        <v>-36141.730000000003</v>
      </c>
      <c r="I25" s="77">
        <v>-31077.87</v>
      </c>
      <c r="J25" s="58">
        <v>39323.29</v>
      </c>
      <c r="K25" s="66">
        <v>-22399.64</v>
      </c>
      <c r="L25" s="79">
        <v>-11905</v>
      </c>
      <c r="M25" s="59">
        <v>48388.51</v>
      </c>
      <c r="N25" s="21">
        <v>11245</v>
      </c>
      <c r="O25" s="26">
        <v>6014</v>
      </c>
    </row>
    <row r="26" spans="2:16">
      <c r="B26" s="18" t="s">
        <v>29</v>
      </c>
      <c r="D26" s="74">
        <f>SUM(D23:D25)</f>
        <v>11635.029999999999</v>
      </c>
      <c r="E26" s="120">
        <f>SUM(E23:E25)</f>
        <v>55000</v>
      </c>
      <c r="F26" s="74">
        <f>SUM(F23:F25)</f>
        <v>32879.919999999998</v>
      </c>
      <c r="G26" s="74">
        <f>SUM(G23:G25)</f>
        <v>84551.329999999987</v>
      </c>
      <c r="H26" s="89">
        <f>SUM(H23:H25)</f>
        <v>-18007.590000000007</v>
      </c>
      <c r="I26" s="67">
        <v>-2936.1299999999974</v>
      </c>
      <c r="J26" s="43">
        <f t="shared" ref="J26:O26" si="1">SUM(J23:J25)</f>
        <v>58093.42</v>
      </c>
      <c r="K26" s="62">
        <f t="shared" si="1"/>
        <v>39351.420000000006</v>
      </c>
      <c r="L26" s="78">
        <f t="shared" si="1"/>
        <v>-2987</v>
      </c>
      <c r="M26" s="52">
        <f t="shared" si="1"/>
        <v>62079.51</v>
      </c>
      <c r="N26" s="18">
        <f t="shared" si="1"/>
        <v>17007</v>
      </c>
      <c r="O26" s="18">
        <f t="shared" si="1"/>
        <v>12148</v>
      </c>
    </row>
    <row r="27" spans="2:16">
      <c r="E27" s="118"/>
      <c r="J27" s="53"/>
      <c r="K27" s="54"/>
      <c r="L27" s="42"/>
      <c r="M27" s="42"/>
      <c r="N27" s="13"/>
    </row>
    <row r="28" spans="2:16" ht="18">
      <c r="B28" s="18" t="s">
        <v>64</v>
      </c>
      <c r="D28" s="130">
        <f t="shared" ref="D28:K28" si="2">D20+D26</f>
        <v>374554.19000000006</v>
      </c>
      <c r="E28" s="129">
        <f t="shared" si="2"/>
        <v>1449370</v>
      </c>
      <c r="F28" s="130">
        <f t="shared" si="2"/>
        <v>1820617.8599999999</v>
      </c>
      <c r="G28" s="130">
        <f t="shared" si="2"/>
        <v>2466442.7200000002</v>
      </c>
      <c r="H28" s="130">
        <f t="shared" si="2"/>
        <v>1985514.5599999998</v>
      </c>
      <c r="I28" s="130">
        <f t="shared" si="2"/>
        <v>1795145.18</v>
      </c>
      <c r="J28" s="43">
        <f t="shared" si="2"/>
        <v>1630001.35</v>
      </c>
      <c r="K28" s="62">
        <f t="shared" si="2"/>
        <v>1498813.97</v>
      </c>
      <c r="L28" s="52">
        <f>L26+L20</f>
        <v>817910.08</v>
      </c>
      <c r="M28" s="51">
        <f>M26+M20</f>
        <v>1099943.1099999999</v>
      </c>
      <c r="N28" s="14">
        <f>N26+N20</f>
        <v>816761.02</v>
      </c>
      <c r="O28" s="14">
        <f>O26+O20</f>
        <v>681789.28</v>
      </c>
    </row>
    <row r="29" spans="2:16" ht="12" customHeight="1">
      <c r="B29" s="13"/>
      <c r="E29" s="118"/>
      <c r="J29" s="53"/>
      <c r="K29" s="54"/>
      <c r="L29" s="42"/>
      <c r="M29" s="42"/>
      <c r="N29" s="13"/>
    </row>
    <row r="30" spans="2:16">
      <c r="B30" s="17" t="s">
        <v>59</v>
      </c>
      <c r="E30" s="118"/>
      <c r="J30" s="53"/>
      <c r="K30" s="54"/>
      <c r="L30" s="42"/>
      <c r="M30" s="42"/>
      <c r="N30" s="13"/>
    </row>
    <row r="31" spans="2:16">
      <c r="B31" s="13" t="s">
        <v>2</v>
      </c>
      <c r="D31" s="73">
        <v>100965</v>
      </c>
      <c r="E31" s="118">
        <v>403860</v>
      </c>
      <c r="F31" s="73">
        <f>304600+33655+33655</f>
        <v>371910</v>
      </c>
      <c r="G31" s="73">
        <f>241005.16+0.37+21909.56</f>
        <v>262915.09000000003</v>
      </c>
      <c r="H31" s="53">
        <v>250395</v>
      </c>
      <c r="I31" s="53">
        <v>238470.68</v>
      </c>
      <c r="J31" s="53">
        <v>227115</v>
      </c>
      <c r="K31" s="54">
        <v>216300</v>
      </c>
      <c r="L31" s="42">
        <v>210000</v>
      </c>
      <c r="M31" s="42">
        <v>74340</v>
      </c>
      <c r="N31" s="13">
        <v>70818</v>
      </c>
      <c r="O31" s="13">
        <v>67536</v>
      </c>
    </row>
    <row r="32" spans="2:16">
      <c r="B32" s="13" t="s">
        <v>30</v>
      </c>
      <c r="D32" s="73">
        <v>37125</v>
      </c>
      <c r="E32" s="118">
        <v>30000</v>
      </c>
      <c r="F32" s="73">
        <v>0</v>
      </c>
      <c r="G32" s="73">
        <v>70792.600000000006</v>
      </c>
      <c r="H32" s="53">
        <v>29601</v>
      </c>
      <c r="I32" s="53">
        <v>25934</v>
      </c>
      <c r="J32" s="53">
        <v>26132.25</v>
      </c>
      <c r="K32" s="54">
        <v>0</v>
      </c>
      <c r="L32" s="42">
        <v>28239.4</v>
      </c>
      <c r="M32" s="42">
        <v>0</v>
      </c>
      <c r="N32" s="13">
        <v>21450</v>
      </c>
      <c r="O32" s="13">
        <v>12251.65</v>
      </c>
    </row>
    <row r="33" spans="2:15">
      <c r="B33" s="13" t="s">
        <v>3</v>
      </c>
      <c r="D33" s="73">
        <v>0</v>
      </c>
      <c r="E33" s="118">
        <v>2000</v>
      </c>
      <c r="F33" s="73">
        <f>1920+93</f>
        <v>2013</v>
      </c>
      <c r="G33" s="73">
        <v>1985</v>
      </c>
      <c r="H33" s="53">
        <v>500</v>
      </c>
      <c r="I33" s="53">
        <v>500</v>
      </c>
      <c r="J33" s="53">
        <v>500</v>
      </c>
      <c r="K33" s="54">
        <v>500</v>
      </c>
      <c r="L33" s="65">
        <v>-375</v>
      </c>
      <c r="M33" s="42">
        <v>1000</v>
      </c>
      <c r="N33" s="13">
        <v>1000</v>
      </c>
      <c r="O33" s="13">
        <v>1000</v>
      </c>
    </row>
    <row r="34" spans="2:15">
      <c r="B34" s="13" t="s">
        <v>4</v>
      </c>
      <c r="D34" s="73">
        <v>0</v>
      </c>
      <c r="E34" s="118">
        <v>2200</v>
      </c>
      <c r="F34" s="73">
        <v>0</v>
      </c>
      <c r="G34" s="73">
        <v>0</v>
      </c>
      <c r="H34" s="53">
        <f>430+447.5+100</f>
        <v>977.5</v>
      </c>
      <c r="I34" s="53">
        <v>0</v>
      </c>
      <c r="J34" s="53">
        <v>470</v>
      </c>
      <c r="K34" s="54">
        <f>85</f>
        <v>85</v>
      </c>
      <c r="L34" s="42">
        <v>125</v>
      </c>
      <c r="M34" s="42">
        <v>0</v>
      </c>
      <c r="N34" s="13">
        <v>7425</v>
      </c>
      <c r="O34" s="13">
        <v>925</v>
      </c>
    </row>
    <row r="35" spans="2:15">
      <c r="B35" s="13" t="s">
        <v>13</v>
      </c>
      <c r="D35" s="73">
        <v>2654.25</v>
      </c>
      <c r="E35" s="118">
        <v>7500</v>
      </c>
      <c r="F35" s="73">
        <f>4678.71+1182.82+1619.89</f>
        <v>7481.42</v>
      </c>
      <c r="G35" s="73">
        <f>7563.03+55</f>
        <v>7618.03</v>
      </c>
      <c r="H35" s="53">
        <v>6668.69</v>
      </c>
      <c r="I35" s="53">
        <f>6517.74-45</f>
        <v>6472.74</v>
      </c>
      <c r="J35" s="53">
        <v>4686</v>
      </c>
      <c r="K35" s="54">
        <v>7907.42</v>
      </c>
      <c r="L35" s="42">
        <v>10565.97</v>
      </c>
      <c r="M35" s="42">
        <v>8057.76</v>
      </c>
      <c r="N35" s="13">
        <v>6617.73</v>
      </c>
      <c r="O35" s="13">
        <v>5123.2</v>
      </c>
    </row>
    <row r="36" spans="2:15">
      <c r="B36" s="13" t="s">
        <v>57</v>
      </c>
      <c r="D36" s="73">
        <v>2526.1999999999998</v>
      </c>
      <c r="E36" s="118">
        <v>8600</v>
      </c>
      <c r="F36" s="73">
        <v>9780.2800000000007</v>
      </c>
      <c r="G36" s="73">
        <f>6359.63+2181.84</f>
        <v>8541.4700000000012</v>
      </c>
      <c r="H36" s="53">
        <v>8590.35</v>
      </c>
      <c r="I36" s="53">
        <v>5998.62</v>
      </c>
      <c r="J36" s="53">
        <v>5641.49</v>
      </c>
      <c r="K36" s="54">
        <v>5157.63</v>
      </c>
      <c r="L36" s="42">
        <v>0</v>
      </c>
      <c r="M36" s="42">
        <v>0</v>
      </c>
      <c r="N36" s="13">
        <v>0</v>
      </c>
      <c r="O36" s="27">
        <v>0</v>
      </c>
    </row>
    <row r="37" spans="2:15">
      <c r="B37" s="13" t="s">
        <v>5</v>
      </c>
      <c r="D37" s="73">
        <v>29.67</v>
      </c>
      <c r="E37" s="118">
        <v>750</v>
      </c>
      <c r="F37" s="73">
        <f>908.84+31.91-150</f>
        <v>790.75</v>
      </c>
      <c r="G37" s="73">
        <f>314.8+267.55</f>
        <v>582.35</v>
      </c>
      <c r="H37" s="53">
        <f>629.36+11.12+54.05+102.91</f>
        <v>797.43999999999994</v>
      </c>
      <c r="I37" s="53">
        <v>448.9</v>
      </c>
      <c r="J37" s="53">
        <f>1079.98+159</f>
        <v>1238.98</v>
      </c>
      <c r="K37" s="54">
        <v>765.88</v>
      </c>
      <c r="L37" s="42">
        <v>1067.98</v>
      </c>
      <c r="M37" s="42">
        <v>2558.08</v>
      </c>
      <c r="N37" s="13">
        <v>1335</v>
      </c>
      <c r="O37" s="13">
        <v>1583</v>
      </c>
    </row>
    <row r="38" spans="2:15">
      <c r="B38" s="13" t="s">
        <v>6</v>
      </c>
      <c r="D38" s="73">
        <v>643.67999999999995</v>
      </c>
      <c r="E38" s="118">
        <v>2500</v>
      </c>
      <c r="F38" s="73">
        <f>2037.26+220.07+378.5</f>
        <v>2635.83</v>
      </c>
      <c r="G38" s="73">
        <v>3218.58</v>
      </c>
      <c r="H38" s="53">
        <v>1901.05</v>
      </c>
      <c r="I38" s="53">
        <f>1656.76-427</f>
        <v>1229.76</v>
      </c>
      <c r="J38" s="53">
        <f>1967.46+1140.25</f>
        <v>3107.71</v>
      </c>
      <c r="K38" s="54">
        <v>2920.49</v>
      </c>
      <c r="L38" s="42">
        <v>2403.19</v>
      </c>
      <c r="M38" s="42">
        <v>2661.75</v>
      </c>
      <c r="N38" s="13">
        <v>3609.45</v>
      </c>
      <c r="O38" s="13">
        <v>4718</v>
      </c>
    </row>
    <row r="39" spans="2:15">
      <c r="B39" s="13" t="s">
        <v>7</v>
      </c>
      <c r="D39" s="73">
        <v>134.18</v>
      </c>
      <c r="E39" s="118">
        <v>500</v>
      </c>
      <c r="F39" s="73">
        <f>161.07+11.75+9.87</f>
        <v>182.69</v>
      </c>
      <c r="G39" s="73">
        <v>84.48</v>
      </c>
      <c r="H39" s="53">
        <f>85.26+246.14</f>
        <v>331.4</v>
      </c>
      <c r="I39" s="53">
        <f>50.5+101.14</f>
        <v>151.63999999999999</v>
      </c>
      <c r="J39" s="53">
        <v>503.55</v>
      </c>
      <c r="K39" s="54">
        <v>338.97</v>
      </c>
      <c r="L39" s="42">
        <v>91.9</v>
      </c>
      <c r="M39" s="42">
        <v>386.49</v>
      </c>
      <c r="N39" s="13">
        <v>288.04000000000002</v>
      </c>
      <c r="O39" s="13">
        <v>722.08</v>
      </c>
    </row>
    <row r="40" spans="2:15">
      <c r="B40" s="13" t="s">
        <v>8</v>
      </c>
      <c r="D40" s="73">
        <v>0</v>
      </c>
      <c r="E40" s="118">
        <v>500</v>
      </c>
      <c r="F40" s="73">
        <v>170.77</v>
      </c>
      <c r="G40" s="73">
        <v>1632.75</v>
      </c>
      <c r="H40" s="53">
        <v>0</v>
      </c>
      <c r="I40" s="53">
        <f>107.81+502.4</f>
        <v>610.21</v>
      </c>
      <c r="J40" s="53">
        <f>833.8</f>
        <v>833.8</v>
      </c>
      <c r="K40" s="54">
        <v>599.4</v>
      </c>
      <c r="L40" s="42">
        <v>131.62</v>
      </c>
      <c r="M40" s="42">
        <v>111.05</v>
      </c>
      <c r="N40" s="13">
        <v>1714.9</v>
      </c>
      <c r="O40" s="13">
        <v>3277.06</v>
      </c>
    </row>
    <row r="41" spans="2:15">
      <c r="B41" s="13" t="s">
        <v>98</v>
      </c>
      <c r="D41" s="73">
        <v>1324.85</v>
      </c>
      <c r="E41" s="118">
        <v>0</v>
      </c>
      <c r="F41" s="73">
        <f>10251+13007.5+1827.5</f>
        <v>25086</v>
      </c>
      <c r="G41" s="73">
        <v>0</v>
      </c>
      <c r="H41" s="53">
        <v>0</v>
      </c>
      <c r="I41" s="53">
        <v>0</v>
      </c>
      <c r="J41" s="53"/>
      <c r="K41" s="54"/>
      <c r="L41" s="42"/>
      <c r="M41" s="42"/>
      <c r="N41" s="13"/>
    </row>
    <row r="42" spans="2:15">
      <c r="B42" s="13" t="s">
        <v>9</v>
      </c>
      <c r="D42" s="73">
        <v>0</v>
      </c>
      <c r="E42" s="118">
        <v>500</v>
      </c>
      <c r="F42" s="73">
        <v>0</v>
      </c>
      <c r="G42" s="73">
        <f>119.88+18.75</f>
        <v>138.63</v>
      </c>
      <c r="H42" s="53">
        <v>1250</v>
      </c>
      <c r="I42" s="53">
        <v>0</v>
      </c>
      <c r="J42" s="53">
        <v>389.53</v>
      </c>
      <c r="K42" s="54">
        <v>367.56</v>
      </c>
      <c r="L42" s="42">
        <v>2506.94</v>
      </c>
      <c r="M42" s="42">
        <v>5177.4399999999996</v>
      </c>
      <c r="N42" s="13">
        <v>4493</v>
      </c>
      <c r="O42" s="13">
        <v>2062</v>
      </c>
    </row>
    <row r="43" spans="2:15">
      <c r="B43" s="13" t="s">
        <v>10</v>
      </c>
      <c r="D43" s="73">
        <v>74</v>
      </c>
      <c r="E43" s="118">
        <v>15000</v>
      </c>
      <c r="F43" s="73">
        <f>13007.5+1827.5</f>
        <v>14835</v>
      </c>
      <c r="G43" s="73">
        <v>7563.61</v>
      </c>
      <c r="H43" s="53">
        <f>187.5+731.6+1977.5+2000+4408.72+450.65+4606.26+2477.76</f>
        <v>16839.989999999998</v>
      </c>
      <c r="I43" s="53">
        <v>0</v>
      </c>
      <c r="J43" s="53">
        <f>29217.5+2476.25+4483.6</f>
        <v>36177.35</v>
      </c>
      <c r="K43" s="54">
        <f>30118.75+3488.66-1292</f>
        <v>32315.410000000003</v>
      </c>
      <c r="L43" s="42">
        <v>47932.74</v>
      </c>
      <c r="M43" s="42">
        <v>35365.14</v>
      </c>
      <c r="N43" s="13">
        <f>28227+13719</f>
        <v>41946</v>
      </c>
      <c r="O43" s="13">
        <v>38396.89</v>
      </c>
    </row>
    <row r="44" spans="2:15">
      <c r="B44" s="13" t="s">
        <v>66</v>
      </c>
      <c r="D44" s="73">
        <v>0</v>
      </c>
      <c r="E44" s="118">
        <v>20000</v>
      </c>
      <c r="F44" s="73">
        <v>20945.16</v>
      </c>
      <c r="G44" s="73">
        <v>28393.65</v>
      </c>
      <c r="H44" s="53">
        <v>35484.559999999998</v>
      </c>
      <c r="I44" s="53">
        <v>24833.14</v>
      </c>
      <c r="J44" s="53">
        <v>0</v>
      </c>
      <c r="K44" s="54">
        <v>0</v>
      </c>
      <c r="L44" s="42">
        <v>0</v>
      </c>
      <c r="M44" s="42">
        <v>0</v>
      </c>
      <c r="N44" s="13">
        <v>0</v>
      </c>
    </row>
    <row r="45" spans="2:15">
      <c r="B45" s="13" t="s">
        <v>90</v>
      </c>
      <c r="D45" s="73">
        <v>3000</v>
      </c>
      <c r="E45" s="118">
        <v>10000</v>
      </c>
      <c r="F45" s="73">
        <v>16379.29</v>
      </c>
      <c r="G45" s="73">
        <v>8050.32</v>
      </c>
      <c r="H45" s="53">
        <v>0</v>
      </c>
      <c r="I45" s="53">
        <v>0</v>
      </c>
      <c r="J45" s="53">
        <v>618.62</v>
      </c>
      <c r="K45" s="54">
        <v>89.09</v>
      </c>
      <c r="L45" s="42">
        <v>0</v>
      </c>
      <c r="M45" s="42">
        <v>1749.54</v>
      </c>
      <c r="N45" s="13">
        <v>3460.38</v>
      </c>
      <c r="O45" s="13">
        <v>4395.29</v>
      </c>
    </row>
    <row r="46" spans="2:15">
      <c r="B46" s="13" t="s">
        <v>95</v>
      </c>
      <c r="D46" s="73">
        <v>0</v>
      </c>
      <c r="E46" s="118">
        <v>1000</v>
      </c>
      <c r="F46" s="73">
        <f>5000+353.18</f>
        <v>5353.18</v>
      </c>
      <c r="G46" s="73">
        <v>1000</v>
      </c>
      <c r="H46" s="53">
        <v>1250</v>
      </c>
      <c r="I46" s="53">
        <v>1000</v>
      </c>
      <c r="J46" s="53">
        <v>1000</v>
      </c>
      <c r="K46" s="54">
        <v>1000</v>
      </c>
      <c r="L46" s="42">
        <v>1000</v>
      </c>
      <c r="M46" s="42">
        <v>0</v>
      </c>
      <c r="N46" s="13">
        <v>0</v>
      </c>
      <c r="O46" s="13">
        <v>0</v>
      </c>
    </row>
    <row r="47" spans="2:15">
      <c r="B47" s="13" t="s">
        <v>20</v>
      </c>
      <c r="D47" s="73">
        <v>1937.62</v>
      </c>
      <c r="E47" s="118">
        <v>30000</v>
      </c>
      <c r="F47" s="73">
        <f>3594.63+638.5+638.5</f>
        <v>4871.63</v>
      </c>
      <c r="G47" s="73">
        <v>8977.67</v>
      </c>
      <c r="H47" s="53">
        <v>6295.4</v>
      </c>
      <c r="I47" s="53">
        <v>20342.41</v>
      </c>
      <c r="J47" s="53">
        <f>8337.5+762.5</f>
        <v>9100</v>
      </c>
      <c r="K47" s="54">
        <v>9185.67</v>
      </c>
      <c r="L47" s="42">
        <v>20211</v>
      </c>
      <c r="M47" s="42">
        <v>54732</v>
      </c>
      <c r="N47" s="13">
        <v>0</v>
      </c>
      <c r="O47" s="13">
        <v>0</v>
      </c>
    </row>
    <row r="48" spans="2:15">
      <c r="B48" s="13" t="s">
        <v>21</v>
      </c>
      <c r="D48" s="73">
        <f>4752.07+1929.62+248.8</f>
        <v>6930.49</v>
      </c>
      <c r="E48" s="118">
        <v>10000</v>
      </c>
      <c r="F48" s="73">
        <f>2646.84+1008.35</f>
        <v>3655.19</v>
      </c>
      <c r="G48" s="73">
        <f>38.5+7320.86</f>
        <v>7359.36</v>
      </c>
      <c r="H48" s="53">
        <f>4534.77+2671.61</f>
        <v>7206.380000000001</v>
      </c>
      <c r="I48" s="53">
        <f>4606.84+833.2+5856.7+2180.58</f>
        <v>13477.32</v>
      </c>
      <c r="J48" s="53">
        <v>2359.48</v>
      </c>
      <c r="K48" s="54">
        <v>0</v>
      </c>
      <c r="L48" s="42">
        <v>3372</v>
      </c>
      <c r="M48" s="42">
        <v>4946</v>
      </c>
      <c r="N48" s="13">
        <v>2333</v>
      </c>
      <c r="O48" s="13">
        <v>0</v>
      </c>
    </row>
    <row r="49" spans="2:136" ht="18">
      <c r="B49" s="13" t="s">
        <v>15</v>
      </c>
      <c r="D49" s="101">
        <v>0</v>
      </c>
      <c r="E49" s="121">
        <v>1000</v>
      </c>
      <c r="F49" s="101">
        <f>422.67</f>
        <v>422.67</v>
      </c>
      <c r="G49" s="101">
        <f>354.36</f>
        <v>354.36</v>
      </c>
      <c r="H49" s="95">
        <f>148.97+680+226.5</f>
        <v>1055.47</v>
      </c>
      <c r="I49" s="58">
        <f>6536.25+8704+159+295</f>
        <v>15694.25</v>
      </c>
      <c r="J49" s="58">
        <f>11136.49-0.14</f>
        <v>11136.35</v>
      </c>
      <c r="K49" s="66">
        <f>-1546.5</f>
        <v>-1546.5</v>
      </c>
      <c r="L49" s="60">
        <v>764.46</v>
      </c>
      <c r="M49" s="60">
        <v>7148.2</v>
      </c>
      <c r="N49" s="22">
        <v>9811</v>
      </c>
      <c r="O49" s="22">
        <v>1495</v>
      </c>
    </row>
    <row r="50" spans="2:136">
      <c r="B50" s="18" t="s">
        <v>63</v>
      </c>
      <c r="D50" s="103">
        <f>SUM(D31:D49)</f>
        <v>157344.94</v>
      </c>
      <c r="E50" s="120">
        <f t="shared" ref="E50:O50" si="3">SUM(E31:E49)</f>
        <v>545910</v>
      </c>
      <c r="F50" s="103">
        <f>SUM(F31:F49)</f>
        <v>486512.86</v>
      </c>
      <c r="G50" s="103">
        <f t="shared" si="3"/>
        <v>419207.95</v>
      </c>
      <c r="H50" s="43">
        <f t="shared" si="3"/>
        <v>369144.23</v>
      </c>
      <c r="I50" s="61">
        <f t="shared" si="3"/>
        <v>355163.67000000004</v>
      </c>
      <c r="J50" s="43">
        <f t="shared" si="3"/>
        <v>331010.10999999993</v>
      </c>
      <c r="K50" s="62">
        <f t="shared" si="3"/>
        <v>275986.02</v>
      </c>
      <c r="L50" s="52">
        <f t="shared" si="3"/>
        <v>328037.2</v>
      </c>
      <c r="M50" s="52">
        <f t="shared" si="3"/>
        <v>198233.45</v>
      </c>
      <c r="N50" s="18">
        <f t="shared" si="3"/>
        <v>176301.5</v>
      </c>
      <c r="O50" s="18">
        <f t="shared" si="3"/>
        <v>143485.17000000001</v>
      </c>
    </row>
    <row r="51" spans="2:136">
      <c r="B51" s="13"/>
      <c r="D51" s="73"/>
      <c r="E51" s="118"/>
      <c r="F51" s="135"/>
      <c r="G51" s="138"/>
      <c r="J51" s="53"/>
      <c r="K51" s="54"/>
      <c r="L51" s="42"/>
      <c r="M51" s="42"/>
      <c r="N51" s="13"/>
    </row>
    <row r="52" spans="2:136" s="105" customFormat="1">
      <c r="B52" s="20" t="s">
        <v>68</v>
      </c>
      <c r="D52" s="145">
        <f>223811.63+1009.4</f>
        <v>224821.03</v>
      </c>
      <c r="E52" s="119">
        <v>883445</v>
      </c>
      <c r="F52" s="136">
        <f>1283564.19+23312.68</f>
        <v>1306876.8699999999</v>
      </c>
      <c r="G52" s="139">
        <f>1770065.24+18576.41</f>
        <v>1788641.65</v>
      </c>
      <c r="H52" s="55">
        <f>1472950.95+731.6</f>
        <v>1473682.55</v>
      </c>
      <c r="I52" s="55">
        <v>1360456.81</v>
      </c>
      <c r="J52" s="55">
        <v>1097996</v>
      </c>
      <c r="K52" s="56">
        <f>27010.95+60592.88+432595.45+52603.76+41990.84+159936.87+114533.18</f>
        <v>889263.92999999993</v>
      </c>
      <c r="L52" s="56">
        <v>455362</v>
      </c>
      <c r="M52" s="56">
        <v>751915</v>
      </c>
      <c r="N52" s="20">
        <v>515460</v>
      </c>
      <c r="O52" s="20">
        <f>361092.93+75670</f>
        <v>436762.93</v>
      </c>
      <c r="P52" s="20"/>
    </row>
    <row r="53" spans="2:136">
      <c r="B53" s="13"/>
      <c r="D53" s="73"/>
      <c r="E53" s="118"/>
      <c r="F53" s="135"/>
      <c r="G53" s="138"/>
      <c r="J53" s="53"/>
      <c r="K53" s="54"/>
      <c r="L53" s="42"/>
      <c r="M53" s="42"/>
      <c r="N53" s="13"/>
    </row>
    <row r="54" spans="2:136">
      <c r="B54" s="13" t="s">
        <v>75</v>
      </c>
      <c r="D54" s="73">
        <v>0</v>
      </c>
      <c r="E54" s="118">
        <v>0</v>
      </c>
      <c r="F54" s="73">
        <v>35940.85</v>
      </c>
      <c r="G54" s="73">
        <v>64212.91</v>
      </c>
      <c r="H54" s="53">
        <v>82325.039999999994</v>
      </c>
      <c r="I54" s="53">
        <f>88152.38-1508</f>
        <v>86644.38</v>
      </c>
      <c r="J54" s="53">
        <f>43546.1+1087.55+3115+12591.08+3373.62+2870.52+302.69+2684.12</f>
        <v>69570.680000000008</v>
      </c>
      <c r="K54" s="54">
        <f>7632.9+6094.47-1103+5566.18+7473.01+1275+3228.76+1629.97</f>
        <v>31797.29</v>
      </c>
      <c r="L54" s="42">
        <f>67569+38680</f>
        <v>106249</v>
      </c>
      <c r="M54" s="42">
        <f>81128.13-M55+33</f>
        <v>78399.13</v>
      </c>
      <c r="N54" s="13">
        <v>73695.02</v>
      </c>
      <c r="O54" s="13">
        <f>70355.96-14000</f>
        <v>56355.960000000006</v>
      </c>
    </row>
    <row r="55" spans="2:136">
      <c r="B55" s="13" t="s">
        <v>76</v>
      </c>
      <c r="D55" s="73">
        <v>0</v>
      </c>
      <c r="E55" s="118">
        <v>0</v>
      </c>
      <c r="F55" s="127">
        <v>0</v>
      </c>
      <c r="G55" s="41">
        <v>5226.9399999999996</v>
      </c>
      <c r="H55" s="53">
        <f>657.32+1311.95</f>
        <v>1969.27</v>
      </c>
      <c r="I55" s="53">
        <v>0</v>
      </c>
      <c r="J55" s="53">
        <v>0</v>
      </c>
      <c r="K55" s="54">
        <v>0</v>
      </c>
      <c r="L55" s="42">
        <v>0</v>
      </c>
      <c r="M55" s="42">
        <v>2762</v>
      </c>
      <c r="N55" s="13">
        <v>0</v>
      </c>
    </row>
    <row r="56" spans="2:136" ht="18">
      <c r="B56" s="13" t="s">
        <v>77</v>
      </c>
      <c r="D56" s="101">
        <v>183.08</v>
      </c>
      <c r="E56" s="121">
        <v>85000</v>
      </c>
      <c r="F56" s="75">
        <f>785.17+4245.36+52651.98</f>
        <v>57682.51</v>
      </c>
      <c r="G56" s="75">
        <v>68438.31</v>
      </c>
      <c r="H56" s="84">
        <v>31979.33</v>
      </c>
      <c r="I56" s="84">
        <v>25142.22</v>
      </c>
      <c r="J56" s="84">
        <f>13137.29+630+2892.57+208.69+1287.01</f>
        <v>18155.559999999998</v>
      </c>
      <c r="K56" s="85">
        <f>9133.46+1756.58+92.77+100+1894.59</f>
        <v>12977.4</v>
      </c>
      <c r="L56" s="86">
        <v>9816.8799999999992</v>
      </c>
      <c r="M56" s="86">
        <v>26759.86</v>
      </c>
      <c r="N56" s="28">
        <f>19058.61-915</f>
        <v>18143.61</v>
      </c>
      <c r="O56" s="13">
        <v>37348.769999999997</v>
      </c>
    </row>
    <row r="57" spans="2:136">
      <c r="B57" s="13"/>
      <c r="D57" s="73"/>
      <c r="E57" s="118"/>
      <c r="F57" s="127"/>
      <c r="G57" s="41"/>
      <c r="J57" s="53"/>
      <c r="K57" s="59"/>
      <c r="L57" s="42"/>
      <c r="M57" s="42"/>
      <c r="N57" s="13"/>
    </row>
    <row r="58" spans="2:136">
      <c r="B58" s="18" t="s">
        <v>62</v>
      </c>
      <c r="D58" s="43">
        <f>D50+D52+D54+D55+D56</f>
        <v>382349.05</v>
      </c>
      <c r="E58" s="122">
        <f t="shared" ref="E58:I58" si="4">E50+E52+E54+E55+E56</f>
        <v>1514355</v>
      </c>
      <c r="F58" s="43">
        <f>F50+F52+F54+F55+F56</f>
        <v>1887013.09</v>
      </c>
      <c r="G58" s="43">
        <f t="shared" si="4"/>
        <v>2345727.7600000002</v>
      </c>
      <c r="H58" s="43">
        <f t="shared" si="4"/>
        <v>1959100.4200000002</v>
      </c>
      <c r="I58" s="61">
        <f t="shared" si="4"/>
        <v>1827407.0799999998</v>
      </c>
      <c r="J58" s="43">
        <f>SUM(J50:J57)</f>
        <v>1516732.3499999999</v>
      </c>
      <c r="K58" s="62">
        <f>SUM(K50:K57)</f>
        <v>1210024.6399999999</v>
      </c>
      <c r="L58" s="52">
        <f>SUM(L50:L56)</f>
        <v>899465.08</v>
      </c>
      <c r="M58" s="52">
        <f>SUM(M50:M57)</f>
        <v>1058069.44</v>
      </c>
      <c r="N58" s="18">
        <f>SUM(N50:N56)</f>
        <v>783600.13</v>
      </c>
      <c r="O58" s="18">
        <f>SUM(O50:O56)</f>
        <v>673952.83</v>
      </c>
      <c r="P58" s="6"/>
    </row>
    <row r="59" spans="2:136">
      <c r="B59" s="18"/>
      <c r="D59" s="73"/>
      <c r="E59" s="118"/>
      <c r="H59" s="43"/>
      <c r="I59" s="43"/>
      <c r="J59" s="43"/>
      <c r="K59" s="62"/>
      <c r="L59" s="52"/>
      <c r="M59" s="52"/>
      <c r="N59" s="18"/>
      <c r="O59" s="18"/>
    </row>
    <row r="60" spans="2:136" s="23" customFormat="1">
      <c r="B60" s="14" t="s">
        <v>70</v>
      </c>
      <c r="D60" s="67">
        <f>D20-D58</f>
        <v>-19429.889999999956</v>
      </c>
      <c r="E60" s="124">
        <f t="shared" ref="E60:N60" si="5">E20-E58</f>
        <v>-119985</v>
      </c>
      <c r="F60" s="67">
        <f>F20-F58</f>
        <v>-99275.15000000014</v>
      </c>
      <c r="G60" s="61">
        <f t="shared" si="5"/>
        <v>36163.629999999888</v>
      </c>
      <c r="H60" s="61">
        <f t="shared" si="5"/>
        <v>44421.729999999749</v>
      </c>
      <c r="I60" s="67">
        <f t="shared" si="5"/>
        <v>-29325.770000000019</v>
      </c>
      <c r="J60" s="61">
        <f t="shared" si="5"/>
        <v>55175.580000000307</v>
      </c>
      <c r="K60" s="61">
        <f t="shared" si="5"/>
        <v>249437.91000000015</v>
      </c>
      <c r="L60" s="67">
        <f t="shared" si="5"/>
        <v>-78568</v>
      </c>
      <c r="M60" s="67">
        <f t="shared" si="5"/>
        <v>-20205.839999999967</v>
      </c>
      <c r="N60" s="29">
        <f t="shared" si="5"/>
        <v>16153.890000000014</v>
      </c>
      <c r="O60" s="18"/>
      <c r="P60" s="14"/>
      <c r="EF60" s="106"/>
    </row>
    <row r="61" spans="2:136">
      <c r="B61" s="13"/>
      <c r="D61" s="61"/>
      <c r="E61" s="118"/>
      <c r="F61" s="61"/>
      <c r="G61" s="61"/>
      <c r="J61" s="53"/>
      <c r="K61" s="54"/>
      <c r="L61" s="42"/>
      <c r="M61" s="42"/>
      <c r="N61" s="13"/>
      <c r="O61" s="25"/>
    </row>
    <row r="62" spans="2:136" s="107" customFormat="1">
      <c r="B62" s="30" t="s">
        <v>11</v>
      </c>
      <c r="D62" s="68">
        <f>D28-D58</f>
        <v>-7794.8599999999278</v>
      </c>
      <c r="E62" s="125">
        <f t="shared" ref="E62:K62" si="6">E28-E58</f>
        <v>-64985</v>
      </c>
      <c r="F62" s="68">
        <f>F28-F58</f>
        <v>-66395.230000000214</v>
      </c>
      <c r="G62" s="46">
        <f t="shared" si="6"/>
        <v>120714.95999999996</v>
      </c>
      <c r="H62" s="46">
        <f t="shared" si="6"/>
        <v>26414.139999999665</v>
      </c>
      <c r="I62" s="68">
        <f t="shared" si="6"/>
        <v>-32261.899999999907</v>
      </c>
      <c r="J62" s="46">
        <f t="shared" si="6"/>
        <v>113269.00000000023</v>
      </c>
      <c r="K62" s="69">
        <f t="shared" si="6"/>
        <v>288789.33000000007</v>
      </c>
      <c r="L62" s="70">
        <f>L28-L58-L25</f>
        <v>-69650</v>
      </c>
      <c r="M62" s="71">
        <f>M28-M58-M72</f>
        <v>-6514.3300000000745</v>
      </c>
      <c r="N62" s="31">
        <f>N28-N58</f>
        <v>33160.890000000014</v>
      </c>
      <c r="O62" s="32">
        <f>O28-O58</f>
        <v>7836.4500000000698</v>
      </c>
      <c r="P62" s="32"/>
      <c r="AD62" s="115"/>
      <c r="AE62" s="115"/>
      <c r="AF62" s="115"/>
      <c r="AG62" s="115"/>
    </row>
    <row r="63" spans="2:136">
      <c r="B63" s="13"/>
      <c r="D63" s="127"/>
      <c r="F63" s="100"/>
      <c r="G63" s="100"/>
      <c r="J63" s="53"/>
      <c r="K63" s="54"/>
      <c r="L63" s="42"/>
      <c r="M63" s="42"/>
      <c r="N63" s="13"/>
      <c r="O63" s="25"/>
      <c r="EF63" s="106"/>
    </row>
    <row r="64" spans="2:136">
      <c r="B64" s="13"/>
      <c r="D64" s="127"/>
      <c r="F64" s="126"/>
      <c r="G64" s="100"/>
      <c r="J64" s="53"/>
      <c r="K64" s="54"/>
      <c r="L64" s="42"/>
      <c r="M64" s="42"/>
      <c r="N64" s="13"/>
      <c r="O64" s="25"/>
      <c r="EF64" s="106"/>
    </row>
    <row r="65" spans="2:136">
      <c r="B65" s="13"/>
      <c r="D65" s="127"/>
      <c r="F65" s="126"/>
      <c r="J65" s="53"/>
      <c r="K65" s="54"/>
      <c r="L65" s="42"/>
      <c r="M65" s="42"/>
      <c r="N65" s="13"/>
      <c r="O65" s="25"/>
      <c r="EF65" s="106"/>
    </row>
    <row r="66" spans="2:136">
      <c r="B66" s="13"/>
      <c r="D66" s="127"/>
      <c r="F66" s="100"/>
      <c r="G66" s="100"/>
      <c r="J66" s="53"/>
      <c r="K66" s="54"/>
      <c r="L66" s="42"/>
      <c r="M66" s="42"/>
      <c r="N66" s="13"/>
      <c r="O66" s="25"/>
      <c r="EF66" s="106"/>
    </row>
    <row r="67" spans="2:136">
      <c r="B67" s="13"/>
      <c r="D67" s="127"/>
      <c r="J67" s="53"/>
      <c r="K67" s="54"/>
      <c r="L67" s="42"/>
      <c r="M67" s="42"/>
      <c r="N67" s="13"/>
      <c r="O67" s="25"/>
      <c r="EF67" s="106"/>
    </row>
    <row r="68" spans="2:136" s="23" customFormat="1">
      <c r="B68" s="18" t="s">
        <v>32</v>
      </c>
      <c r="D68" s="74">
        <f>F70</f>
        <v>931628.32999999949</v>
      </c>
      <c r="F68" s="74">
        <f>G70</f>
        <v>997023.55999999971</v>
      </c>
      <c r="G68" s="93">
        <f>H70</f>
        <v>875208.59999999974</v>
      </c>
      <c r="H68" s="43">
        <f>I70</f>
        <v>848794.46000000008</v>
      </c>
      <c r="I68" s="61">
        <v>881056.33</v>
      </c>
      <c r="J68" s="43">
        <f>K70</f>
        <v>845445.33000000007</v>
      </c>
      <c r="K68" s="50">
        <f>L70</f>
        <v>556656</v>
      </c>
      <c r="L68" s="51">
        <f>M70</f>
        <v>638211</v>
      </c>
      <c r="M68" s="51">
        <f>N70</f>
        <v>596337</v>
      </c>
      <c r="N68" s="14">
        <f>O70</f>
        <v>551931</v>
      </c>
      <c r="O68" s="14">
        <v>538081</v>
      </c>
      <c r="P68" s="14"/>
      <c r="EF68" s="108"/>
    </row>
    <row r="69" spans="2:136">
      <c r="B69" s="18" t="s">
        <v>31</v>
      </c>
      <c r="D69" s="67">
        <f>D62</f>
        <v>-7794.8599999999278</v>
      </c>
      <c r="F69" s="67">
        <f t="shared" ref="F69:K69" si="7">F62</f>
        <v>-66395.230000000214</v>
      </c>
      <c r="G69" s="61">
        <f t="shared" si="7"/>
        <v>120714.95999999996</v>
      </c>
      <c r="H69" s="61">
        <f t="shared" si="7"/>
        <v>26414.139999999665</v>
      </c>
      <c r="I69" s="67">
        <f t="shared" si="7"/>
        <v>-32261.899999999907</v>
      </c>
      <c r="J69" s="61">
        <f t="shared" si="7"/>
        <v>113269.00000000023</v>
      </c>
      <c r="K69" s="50">
        <f t="shared" si="7"/>
        <v>288789.33000000007</v>
      </c>
      <c r="L69" s="51">
        <f>L68-L70</f>
        <v>81555</v>
      </c>
      <c r="M69" s="72">
        <f>M68-M70</f>
        <v>-41874</v>
      </c>
      <c r="N69" s="97">
        <f>N68-N70</f>
        <v>-44406</v>
      </c>
      <c r="O69" s="98">
        <f>O68-O70</f>
        <v>-13850</v>
      </c>
      <c r="EF69" s="109"/>
    </row>
    <row r="70" spans="2:136" s="23" customFormat="1" ht="20">
      <c r="B70" s="18" t="s">
        <v>33</v>
      </c>
      <c r="D70" s="130">
        <f>D68+D69</f>
        <v>923833.46999999951</v>
      </c>
      <c r="E70" s="140"/>
      <c r="F70" s="130">
        <f>F68+F69+1000</f>
        <v>931628.32999999949</v>
      </c>
      <c r="G70" s="130">
        <f>G68+G69+1100</f>
        <v>997023.55999999971</v>
      </c>
      <c r="H70" s="130">
        <f>H68+H69</f>
        <v>875208.59999999974</v>
      </c>
      <c r="I70" s="61">
        <f>I68+I69+0.03</f>
        <v>848794.46000000008</v>
      </c>
      <c r="J70" s="43">
        <f>J68+J69</f>
        <v>958714.33000000031</v>
      </c>
      <c r="K70" s="50">
        <f>K69+K68</f>
        <v>845445.33000000007</v>
      </c>
      <c r="L70" s="51">
        <v>556656</v>
      </c>
      <c r="M70" s="51">
        <v>638211</v>
      </c>
      <c r="N70" s="14">
        <v>596337</v>
      </c>
      <c r="O70" s="14">
        <v>551931</v>
      </c>
      <c r="P70" s="14"/>
      <c r="AK70" s="83"/>
      <c r="EF70" s="108"/>
    </row>
    <row r="71" spans="2:136" ht="18" hidden="1" customHeight="1">
      <c r="B71" s="25" t="s">
        <v>35</v>
      </c>
      <c r="C71" s="13"/>
      <c r="D71" s="143"/>
      <c r="E71" s="13"/>
      <c r="K71" s="42">
        <f>K62-K69</f>
        <v>0</v>
      </c>
      <c r="L71" s="42">
        <f>L62+L69</f>
        <v>11905</v>
      </c>
      <c r="M71" s="42">
        <f>M69+M62</f>
        <v>-48388.330000000075</v>
      </c>
      <c r="N71" s="13">
        <f>N69+N62</f>
        <v>-11245.109999999986</v>
      </c>
      <c r="O71" s="13">
        <f>O69+O62</f>
        <v>-6013.5499999999302</v>
      </c>
    </row>
    <row r="72" spans="2:136" ht="18" hidden="1" customHeight="1">
      <c r="B72" s="110" t="s">
        <v>28</v>
      </c>
      <c r="C72" s="111"/>
      <c r="D72" s="144"/>
      <c r="E72" s="111"/>
      <c r="K72" s="112"/>
      <c r="L72" s="113">
        <v>48388</v>
      </c>
      <c r="M72" s="113">
        <v>48388</v>
      </c>
      <c r="N72" s="114">
        <v>11245</v>
      </c>
      <c r="O72" s="114">
        <v>6014</v>
      </c>
    </row>
    <row r="73" spans="2:136" ht="18" hidden="1" customHeight="1">
      <c r="C73" s="13"/>
      <c r="D73" s="143"/>
      <c r="E73" s="13"/>
      <c r="K73" s="42">
        <f>-K71+K25</f>
        <v>-22399.64</v>
      </c>
      <c r="L73" s="42">
        <f>L71+L25</f>
        <v>0</v>
      </c>
      <c r="M73" s="42">
        <f>M71+M25</f>
        <v>0.17999999992753146</v>
      </c>
      <c r="N73" s="13">
        <f>N71+N25</f>
        <v>-0.10999999998603016</v>
      </c>
      <c r="O73" s="13">
        <f>O71+O25</f>
        <v>0.45000000006984919</v>
      </c>
    </row>
    <row r="74" spans="2:136" ht="18" hidden="1" customHeight="1">
      <c r="C74" s="13"/>
      <c r="D74" s="143"/>
      <c r="E74" s="13"/>
      <c r="K74" s="42">
        <f>K69+K71</f>
        <v>288789.33000000007</v>
      </c>
      <c r="L74" s="42">
        <f>L69+L71</f>
        <v>93460</v>
      </c>
      <c r="M74" s="42">
        <f>M69+M71</f>
        <v>-90262.330000000075</v>
      </c>
      <c r="N74" s="13">
        <f>N69+N71</f>
        <v>-55651.109999999986</v>
      </c>
    </row>
    <row r="75" spans="2:136" ht="18" hidden="1" customHeight="1">
      <c r="D75" s="127"/>
      <c r="K75" s="42"/>
      <c r="L75" s="42"/>
    </row>
    <row r="76" spans="2:136">
      <c r="D76" s="127"/>
      <c r="H76" s="90"/>
      <c r="L76" s="42"/>
    </row>
    <row r="77" spans="2:136">
      <c r="B77" s="6" t="s">
        <v>80</v>
      </c>
      <c r="D77" s="127"/>
      <c r="L77" s="42"/>
    </row>
    <row r="78" spans="2:136">
      <c r="B78" s="6" t="s">
        <v>81</v>
      </c>
      <c r="D78" s="127"/>
      <c r="L78" s="42"/>
    </row>
    <row r="79" spans="2:136">
      <c r="D79" s="127"/>
      <c r="L79" s="42"/>
    </row>
    <row r="80" spans="2:136">
      <c r="D80" s="127"/>
      <c r="G80" s="126"/>
      <c r="L80" s="42"/>
    </row>
    <row r="81" spans="4:12">
      <c r="D81" s="127"/>
      <c r="F81" s="100"/>
      <c r="G81" s="100"/>
      <c r="L81" s="42"/>
    </row>
    <row r="82" spans="4:12">
      <c r="D82" s="127"/>
      <c r="G82" s="126"/>
      <c r="L82" s="42"/>
    </row>
    <row r="83" spans="4:12">
      <c r="F83" s="100"/>
      <c r="G83" s="100"/>
      <c r="L83" s="42"/>
    </row>
    <row r="84" spans="4:12">
      <c r="L84" s="42"/>
    </row>
    <row r="85" spans="4:12">
      <c r="L85" s="42"/>
    </row>
    <row r="86" spans="4:12">
      <c r="L86" s="42"/>
    </row>
    <row r="87" spans="4:12">
      <c r="L87" s="42"/>
    </row>
    <row r="88" spans="4:12">
      <c r="L88" s="42"/>
    </row>
    <row r="89" spans="4:12">
      <c r="L89" s="42"/>
    </row>
    <row r="90" spans="4:12">
      <c r="L90" s="42"/>
    </row>
    <row r="91" spans="4:12">
      <c r="L91" s="42"/>
    </row>
    <row r="92" spans="4:12">
      <c r="L92" s="42"/>
    </row>
    <row r="93" spans="4:12">
      <c r="L93" s="42"/>
    </row>
    <row r="94" spans="4:12">
      <c r="L94" s="42"/>
    </row>
    <row r="95" spans="4:12">
      <c r="L95" s="42"/>
    </row>
    <row r="96" spans="4:12">
      <c r="L96" s="42"/>
    </row>
    <row r="97" spans="12:12">
      <c r="L97" s="42"/>
    </row>
    <row r="98" spans="12:12">
      <c r="L98" s="42"/>
    </row>
    <row r="99" spans="12:12">
      <c r="L99" s="42"/>
    </row>
  </sheetData>
  <phoneticPr fontId="2" type="noConversion"/>
  <printOptions horizontalCentered="1"/>
  <pageMargins left="0.17" right="0.23" top="0.5" bottom="0.5" header="0.5" footer="0.5"/>
  <pageSetup scale="67" orientation="portrait"/>
  <headerFooter>
    <oddFooter>&amp;R&amp;K000000&amp;D&amp;F</oddFooter>
  </headerFooter>
  <legacyDrawing r:id="rId1"/>
  <extLst>
    <ext xmlns:mx="http://schemas.microsoft.com/office/mac/excel/2008/main" uri="{64002731-A6B0-56B0-2670-7721B7C09600}">
      <mx:PLV Mode="0" OnePage="0" WScale="7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SOA Fiscal 2018-19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Gainor</dc:creator>
  <cp:lastModifiedBy>Anne Kasputis</cp:lastModifiedBy>
  <cp:lastPrinted>2018-09-06T16:06:30Z</cp:lastPrinted>
  <dcterms:created xsi:type="dcterms:W3CDTF">2003-10-12T16:14:30Z</dcterms:created>
  <dcterms:modified xsi:type="dcterms:W3CDTF">2018-10-08T18:38:33Z</dcterms:modified>
</cp:coreProperties>
</file>